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<sst xmlns="http://schemas.openxmlformats.org/spreadsheetml/2006/main" count="165" uniqueCount="113">
  <si>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</si>
  <si>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</si>
  <si>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</si>
  <si>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</si>
  <si>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</si>
  <si>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</si>
  <si>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</si>
  <si>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</si>
  <si>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</si>
  <si>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</si>
  <si>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</si>
  <si>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</si>
  <si>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</si>
  <si>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</si>
  <si>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</si>
  <si>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</si>
  <si>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</si>
  <si>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</si>
  <si>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</si>
  <si>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</si>
  <si>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</si>
  <si>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</si>
  <si>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</si>
  <si>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</si>
  <si>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</si>
  <si>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</si>
  <si>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</si>
  <si>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</si>
  <si>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</si>
  <si>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</si>
  <si>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</si>
  <si>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</si>
  <si>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</si>
  <si>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</si>
  <si>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</si>
  <si>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</si>
  <si>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</si>
  <si>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</si>
  <si>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</si>
  <si>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</si>
  <si>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</si>
  <si>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</si>
  <si>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</si>
  <si>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</si>
  <si>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</si>
  <si>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</si>
  <si>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</si>
  <si>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</si>
  <si>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</si>
  <si>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</si>
  <si>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</si>
  <si>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</si>
  <si>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</si>
  <si>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</si>
  <si>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</si>
  <si>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</si>
  <si>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</si>
  <si>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</si>
  <si>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</si>
  <si>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</si>
  <si>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</si>
  <si>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</si>
  <si>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</si>
  <si>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</si>
  <si>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</si>
  <si>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</si>
  <si>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</si>
  <si>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</si>
  <si>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</si>
  <si>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</si>
  <si>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</si>
  <si>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</si>
  <si>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</si>
  <si>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</si>
  <si>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</si>
  <si>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</si>
  <si>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</si>
  <si>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</si>
  <si>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</si>
  <si>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</si>
  <si>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</si>
  <si>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</si>
  <si>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</si>
  <si>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</si>
  <si>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</si>
  <si>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</si>
  <si>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</si>
  <si>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</si>
  <si>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</si>
  <si>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</si>
  <si>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</si>
  <si>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</si>
  <si>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</si>
  <si>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</si>
  <si>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</si>
  <si>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</si>
  <si>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</si>
  <si>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</si>
  <si>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</si>
  <si>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</si>
  <si>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</si>
  <si>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</si>
  <si>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</si>
  <si>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</si>
  <si>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</si>
  <si>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</si>
  <si>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</si>
  <si>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</si>
  <si>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</si>
  <si>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</si>
  <si>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</si>
  <si>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</si>
  <si>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21.05.2018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</si>
</sst>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 wrapText="1"/>
    </xf>
    <xf numFmtId="190" fontId="5" fillId="36" borderId="10" xfId="0" applyNumberFormat="1" applyFont="1" applyFill="1" applyBorder="1" applyAlignment="1">
      <alignment wrapText="1"/>
    </xf>
    <xf numFmtId="190" fontId="5" fillId="36" borderId="16" xfId="0" applyNumberFormat="1" applyFont="1" applyFill="1" applyBorder="1" applyAlignment="1">
      <alignment/>
    </xf>
    <xf numFmtId="190" fontId="35" fillId="36" borderId="10" xfId="0" applyNumberFormat="1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68798.5</c:v>
                </c:pt>
                <c:pt idx="1">
                  <c:v>65912.90999999997</c:v>
                </c:pt>
                <c:pt idx="2">
                  <c:v>965.7</c:v>
                </c:pt>
                <c:pt idx="3">
                  <c:v>1919.8900000000256</c:v>
                </c:pt>
              </c:numCache>
            </c:numRef>
          </c:val>
          <c:shape val="box"/>
        </c:ser>
        <c:shape val="box"/>
        <c:axId val="44290757"/>
        <c:axId val="63072494"/>
      </c:bar3D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72494"/>
        <c:crosses val="autoZero"/>
        <c:auto val="1"/>
        <c:lblOffset val="100"/>
        <c:tickLblSkip val="1"/>
        <c:noMultiLvlLbl val="0"/>
      </c:catAx>
      <c:valAx>
        <c:axId val="63072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0925"/>
          <c:w val="0.8435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284503.8</c:v>
                </c:pt>
                <c:pt idx="1">
                  <c:v>87924.7</c:v>
                </c:pt>
                <c:pt idx="2">
                  <c:v>221695.10000000003</c:v>
                </c:pt>
                <c:pt idx="3">
                  <c:v>13.700000000000001</c:v>
                </c:pt>
                <c:pt idx="4">
                  <c:v>9294.6</c:v>
                </c:pt>
                <c:pt idx="5">
                  <c:v>46109.40000000001</c:v>
                </c:pt>
                <c:pt idx="6">
                  <c:v>4850.299999999999</c:v>
                </c:pt>
                <c:pt idx="7">
                  <c:v>2540.69999999995</c:v>
                </c:pt>
              </c:numCache>
            </c:numRef>
          </c:val>
          <c:shape val="box"/>
        </c:ser>
        <c:shape val="box"/>
        <c:axId val="30781535"/>
        <c:axId val="8598360"/>
      </c:bar3D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1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149654.5</c:v>
                </c:pt>
                <c:pt idx="1">
                  <c:v>99361.60000000002</c:v>
                </c:pt>
                <c:pt idx="2">
                  <c:v>149654.5</c:v>
                </c:pt>
              </c:numCache>
            </c:numRef>
          </c:val>
          <c:shape val="box"/>
        </c:ser>
        <c:shape val="box"/>
        <c:axId val="10276377"/>
        <c:axId val="25378530"/>
      </c:bar3D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8091.100000000001</c:v>
                </c:pt>
                <c:pt idx="1">
                  <c:v>4263.6</c:v>
                </c:pt>
                <c:pt idx="2">
                  <c:v>27.1</c:v>
                </c:pt>
                <c:pt idx="3">
                  <c:v>918.4999999999999</c:v>
                </c:pt>
                <c:pt idx="4">
                  <c:v>269.4</c:v>
                </c:pt>
                <c:pt idx="5">
                  <c:v>25.5</c:v>
                </c:pt>
                <c:pt idx="6">
                  <c:v>2587.000000000001</c:v>
                </c:pt>
              </c:numCache>
            </c:numRef>
          </c:val>
          <c:shape val="box"/>
        </c:ser>
        <c:shape val="box"/>
        <c:axId val="27080179"/>
        <c:axId val="42395020"/>
      </c:bar3D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775"/>
          <c:w val="0.8637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11086.699999999999</c:v>
                </c:pt>
                <c:pt idx="1">
                  <c:v>6445.100000000001</c:v>
                </c:pt>
                <c:pt idx="3">
                  <c:v>352.40000000000003</c:v>
                </c:pt>
                <c:pt idx="4">
                  <c:v>432.00000000000006</c:v>
                </c:pt>
                <c:pt idx="5">
                  <c:v>550</c:v>
                </c:pt>
                <c:pt idx="6">
                  <c:v>3307.1999999999975</c:v>
                </c:pt>
              </c:numCache>
            </c:numRef>
          </c:val>
          <c:shape val="box"/>
        </c:ser>
        <c:shape val="box"/>
        <c:axId val="46010861"/>
        <c:axId val="11444566"/>
      </c:bar3D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4566"/>
        <c:crosses val="autoZero"/>
        <c:auto val="1"/>
        <c:lblOffset val="100"/>
        <c:tickLblSkip val="2"/>
        <c:noMultiLvlLbl val="0"/>
      </c:catAx>
      <c:valAx>
        <c:axId val="11444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1322.9</c:v>
                </c:pt>
                <c:pt idx="1">
                  <c:v>1051.3</c:v>
                </c:pt>
                <c:pt idx="3">
                  <c:v>192.59999999999997</c:v>
                </c:pt>
                <c:pt idx="4">
                  <c:v>0</c:v>
                </c:pt>
                <c:pt idx="5">
                  <c:v>79.00000000000017</c:v>
                </c:pt>
              </c:numCache>
            </c:numRef>
          </c:val>
          <c:shape val="box"/>
        </c:ser>
        <c:shape val="box"/>
        <c:axId val="35892231"/>
        <c:axId val="54594624"/>
      </c:bar3D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2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13733.000000000002</c:v>
                </c:pt>
              </c:numCache>
            </c:numRef>
          </c:val>
          <c:shape val="box"/>
        </c:ser>
        <c:shape val="box"/>
        <c:axId val="21589569"/>
        <c:axId val="60088394"/>
      </c:bar3D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284503.8</c:v>
                </c:pt>
                <c:pt idx="1">
                  <c:v>149654.5</c:v>
                </c:pt>
                <c:pt idx="2">
                  <c:v>8091.100000000001</c:v>
                </c:pt>
                <c:pt idx="3">
                  <c:v>11086.699999999999</c:v>
                </c:pt>
                <c:pt idx="4">
                  <c:v>1322.9</c:v>
                </c:pt>
                <c:pt idx="5">
                  <c:v>68798.5</c:v>
                </c:pt>
                <c:pt idx="6">
                  <c:v>13733.000000000002</c:v>
                </c:pt>
              </c:numCache>
            </c:numRef>
          </c:val>
          <c:shape val="box"/>
        </c:ser>
        <c:shape val="box"/>
        <c:axId val="3924635"/>
        <c:axId val="35321716"/>
      </c:bar3D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28492.899999999998</c:v>
                </c:pt>
                <c:pt idx="4">
                  <c:v>113.10000000000001</c:v>
                </c:pt>
                <c:pt idx="5">
                  <c:v>1053512.2999999996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304231.01</c:v>
                </c:pt>
                <c:pt idx="1">
                  <c:v>54530.00000000001</c:v>
                </c:pt>
                <c:pt idx="2">
                  <c:v>9700.1</c:v>
                </c:pt>
                <c:pt idx="3">
                  <c:v>8988.2</c:v>
                </c:pt>
                <c:pt idx="4">
                  <c:v>13.700000000000001</c:v>
                </c:pt>
                <c:pt idx="5">
                  <c:v>258659.39</c:v>
                </c:pt>
              </c:numCache>
            </c:numRef>
          </c:val>
          <c:shape val="box"/>
        </c:ser>
        <c:shape val="box"/>
        <c:axId val="49459989"/>
        <c:axId val="42486718"/>
      </c:bar3D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9" sqref="K119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111</v>
      </c>
      <c r="C3" s="172" t="s">
        <v>106</v>
      </c>
      <c r="D3" s="172" t="s">
        <v>22</v>
      </c>
      <c r="E3" s="172" t="s">
        <v>21</v>
      </c>
      <c r="F3" s="172" t="s">
        <v>109</v>
      </c>
      <c r="G3" s="172" t="s">
        <v>107</v>
      </c>
      <c r="H3" s="172" t="s">
        <v>110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9" ht="39" customHeight="1" thickBot="1">
      <c r="A5" s="177"/>
      <c r="B5" s="180"/>
      <c r="C5" s="174"/>
      <c r="D5" s="174"/>
      <c r="E5" s="174"/>
      <c r="F5" s="174"/>
      <c r="G5" s="174"/>
      <c r="H5" s="174"/>
      <c r="I5" s="174"/>
    </row>
    <row r="6" spans="1:11" ht="18.75" thickBot="1">
      <c r="A6" s="20" t="s">
        <v>26</v>
      </c>
      <c r="B6" s="39">
        <v>366354.23</v>
      </c>
      <c r="C6" s="40">
        <f>826775+13431.5+510-13431.5+16</f>
        <v>827301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</f>
        <v>284503.8</v>
      </c>
      <c r="E6" s="3">
        <f>D6/D153*100</f>
        <v>44.72469449275799</v>
      </c>
      <c r="F6" s="3">
        <f>D6/B6*100</f>
        <v>77.65811793683943</v>
      </c>
      <c r="G6" s="3">
        <f aca="true" t="shared" si="0" ref="G6:G43">D6/C6*100</f>
        <v>34.389393944888255</v>
      </c>
      <c r="H6" s="41">
        <f>B6-D6</f>
        <v>81850.43</v>
      </c>
      <c r="I6" s="41">
        <f aca="true" t="shared" si="1" ref="I6:I43">C6-D6</f>
        <v>542797.2</v>
      </c>
      <c r="J6" s="94"/>
      <c r="K6" s="154"/>
    </row>
    <row r="7" spans="1:12" s="95" customFormat="1" ht="18">
      <c r="A7" s="141" t="s">
        <v>81</v>
      </c>
      <c r="B7" s="142">
        <v>115792.7</v>
      </c>
      <c r="C7" s="143">
        <v>262517.6</v>
      </c>
      <c r="D7" s="144">
        <f>8282.7+10875.2+9132.6+9963.6+4.3+9215.1+9968.6+9459.9+11450.4+9572.3</f>
        <v>87924.7</v>
      </c>
      <c r="E7" s="145">
        <f>D7/D6*100</f>
        <v>30.904578427423463</v>
      </c>
      <c r="F7" s="145">
        <f>D7/B7*100</f>
        <v>75.93285241643039</v>
      </c>
      <c r="G7" s="145">
        <f>D7/C7*100</f>
        <v>33.492878191786005</v>
      </c>
      <c r="H7" s="144">
        <f>B7-D7</f>
        <v>27868</v>
      </c>
      <c r="I7" s="144">
        <f t="shared" si="1"/>
        <v>174592.89999999997</v>
      </c>
      <c r="K7" s="154"/>
      <c r="L7" s="140"/>
    </row>
    <row r="8" spans="1:12" s="94" customFormat="1" ht="18">
      <c r="A8" s="103" t="s">
        <v>3</v>
      </c>
      <c r="B8" s="127">
        <v>278938</v>
      </c>
      <c r="C8" s="128">
        <f>649221.9+8415.5</f>
        <v>657637.4</v>
      </c>
      <c r="D8" s="105">
        <f>18784.8+17058.5+10875.2+340.5+963.8+9132.6+10728.8+20670.9+9963.6+30.7+4.3+37.1+20227.5+2+9968.6+19814.4+11230.1+9459.9+20.4+27982.6+1967.7+0.6+48.1+3.5+9572.3+12806.6</f>
        <v>221695.10000000003</v>
      </c>
      <c r="E8" s="107">
        <f>D8/D6*100</f>
        <v>77.92342316693134</v>
      </c>
      <c r="F8" s="107">
        <f>D8/B8*100</f>
        <v>79.47827115703132</v>
      </c>
      <c r="G8" s="107">
        <f t="shared" si="0"/>
        <v>33.7108412629817</v>
      </c>
      <c r="H8" s="105">
        <f>B8-D8</f>
        <v>57242.899999999965</v>
      </c>
      <c r="I8" s="105">
        <f t="shared" si="1"/>
        <v>435942.3</v>
      </c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</f>
        <v>13.700000000000001</v>
      </c>
      <c r="E9" s="129">
        <f>D9/D6*100</f>
        <v>0.004815401411158657</v>
      </c>
      <c r="F9" s="107">
        <f>D9/B9*100</f>
        <v>44.48051948051948</v>
      </c>
      <c r="G9" s="107">
        <f t="shared" si="0"/>
        <v>14.022517911975434</v>
      </c>
      <c r="H9" s="105">
        <f aca="true" t="shared" si="2" ref="H9:H43">B9-D9</f>
        <v>17.1</v>
      </c>
      <c r="I9" s="105">
        <f t="shared" si="1"/>
        <v>84</v>
      </c>
      <c r="K9" s="154"/>
      <c r="L9" s="140"/>
    </row>
    <row r="10" spans="1:12" s="94" customFormat="1" ht="18">
      <c r="A10" s="103" t="s">
        <v>1</v>
      </c>
      <c r="B10" s="127">
        <f>20572.4-9.6</f>
        <v>20562.800000000003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</f>
        <v>9294.6</v>
      </c>
      <c r="E10" s="107">
        <f>D10/D6*100</f>
        <v>3.2669510916901636</v>
      </c>
      <c r="F10" s="107">
        <f aca="true" t="shared" si="3" ref="F10:F41">D10/B10*100</f>
        <v>45.201042659559974</v>
      </c>
      <c r="G10" s="107">
        <f t="shared" si="0"/>
        <v>20.942462642176036</v>
      </c>
      <c r="H10" s="105">
        <f t="shared" si="2"/>
        <v>11268.200000000003</v>
      </c>
      <c r="I10" s="105">
        <f t="shared" si="1"/>
        <v>35087.00000000001</v>
      </c>
      <c r="K10" s="154"/>
      <c r="L10" s="140"/>
    </row>
    <row r="11" spans="1:12" s="94" customFormat="1" ht="18">
      <c r="A11" s="103" t="s">
        <v>0</v>
      </c>
      <c r="B11" s="127">
        <v>50855.85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</f>
        <v>46109.40000000001</v>
      </c>
      <c r="E11" s="107">
        <f>D11/D6*100</f>
        <v>16.206954002020364</v>
      </c>
      <c r="F11" s="107">
        <f t="shared" si="3"/>
        <v>90.66685543551039</v>
      </c>
      <c r="G11" s="107">
        <f t="shared" si="0"/>
        <v>52.294595587734946</v>
      </c>
      <c r="H11" s="105">
        <f t="shared" si="2"/>
        <v>4746.44999999999</v>
      </c>
      <c r="I11" s="105">
        <f t="shared" si="1"/>
        <v>42062.999999999985</v>
      </c>
      <c r="K11" s="154"/>
      <c r="L11" s="140"/>
    </row>
    <row r="12" spans="1:12" s="94" customFormat="1" ht="18">
      <c r="A12" s="103" t="s">
        <v>14</v>
      </c>
      <c r="B12" s="127">
        <v>5554.2</v>
      </c>
      <c r="C12" s="128">
        <v>12738</v>
      </c>
      <c r="D12" s="105">
        <f>874.5+251.8+346.3+159.7+538.5+10.6+57+168.9+31.7+165.3+10.6+439.5+199.1+10.6+10.6+19+325.9+10.6+160.6+453.5-0.1+21.1+21.1+563.9</f>
        <v>4850.299999999999</v>
      </c>
      <c r="E12" s="107">
        <f>D12/D6*100</f>
        <v>1.7048278441272138</v>
      </c>
      <c r="F12" s="107">
        <f t="shared" si="3"/>
        <v>87.32670771668286</v>
      </c>
      <c r="G12" s="107">
        <f t="shared" si="0"/>
        <v>38.07740618621447</v>
      </c>
      <c r="H12" s="105">
        <f>B12-D12</f>
        <v>703.9000000000005</v>
      </c>
      <c r="I12" s="105">
        <f t="shared" si="1"/>
        <v>7887.700000000001</v>
      </c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10412.579999999976</v>
      </c>
      <c r="C13" s="128">
        <f>C6-C8-C9-C10-C11-C12</f>
        <v>24273.899999999965</v>
      </c>
      <c r="D13" s="128">
        <f>D6-D8-D9-D10-D11-D12</f>
        <v>2540.69999999995</v>
      </c>
      <c r="E13" s="107">
        <f>D13/D6*100</f>
        <v>0.8930284938197485</v>
      </c>
      <c r="F13" s="107">
        <f t="shared" si="3"/>
        <v>24.4002927228406</v>
      </c>
      <c r="G13" s="107">
        <f t="shared" si="0"/>
        <v>10.466797671572978</v>
      </c>
      <c r="H13" s="105">
        <f t="shared" si="2"/>
        <v>7871.8800000000265</v>
      </c>
      <c r="I13" s="105">
        <f t="shared" si="1"/>
        <v>21733.200000000015</v>
      </c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.7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.7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.75" thickBot="1">
      <c r="A18" s="20" t="s">
        <v>19</v>
      </c>
      <c r="B18" s="39">
        <f>177295.6-1534.5</f>
        <v>175761.1</v>
      </c>
      <c r="C18" s="40">
        <v>424151.5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</f>
        <v>149654.5</v>
      </c>
      <c r="E18" s="3">
        <f>D18/D153*100</f>
        <v>23.52605410531055</v>
      </c>
      <c r="F18" s="3">
        <f>D18/B18*100</f>
        <v>85.14654266501518</v>
      </c>
      <c r="G18" s="3">
        <f t="shared" si="0"/>
        <v>35.28326553130191</v>
      </c>
      <c r="H18" s="41">
        <f>B18-D18</f>
        <v>26106.600000000006</v>
      </c>
      <c r="I18" s="41">
        <f t="shared" si="1"/>
        <v>274497</v>
      </c>
      <c r="J18" s="94"/>
      <c r="K18" s="154"/>
    </row>
    <row r="19" spans="1:13" s="95" customFormat="1" ht="18">
      <c r="A19" s="141" t="s">
        <v>82</v>
      </c>
      <c r="B19" s="142">
        <v>110014.6</v>
      </c>
      <c r="C19" s="143">
        <v>226186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</f>
        <v>99361.60000000002</v>
      </c>
      <c r="E19" s="145">
        <f>D19/D18*100</f>
        <v>66.39399416656366</v>
      </c>
      <c r="F19" s="145">
        <f t="shared" si="3"/>
        <v>90.31673977817492</v>
      </c>
      <c r="G19" s="145">
        <f t="shared" si="0"/>
        <v>43.929155650659204</v>
      </c>
      <c r="H19" s="144">
        <f t="shared" si="2"/>
        <v>10652.999999999985</v>
      </c>
      <c r="I19" s="144">
        <f t="shared" si="1"/>
        <v>126824.39999999998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175761.1</v>
      </c>
      <c r="C25" s="128">
        <f>C18</f>
        <v>424151.5</v>
      </c>
      <c r="D25" s="128">
        <f>D18</f>
        <v>149654.5</v>
      </c>
      <c r="E25" s="107">
        <f>D25/D18*100</f>
        <v>100</v>
      </c>
      <c r="F25" s="107">
        <f t="shared" si="3"/>
        <v>85.14654266501518</v>
      </c>
      <c r="G25" s="107">
        <f t="shared" si="0"/>
        <v>35.28326553130191</v>
      </c>
      <c r="H25" s="105">
        <f t="shared" si="2"/>
        <v>26106.600000000006</v>
      </c>
      <c r="I25" s="105">
        <f t="shared" si="1"/>
        <v>274497</v>
      </c>
      <c r="K25" s="154"/>
    </row>
    <row r="26" spans="1:11" ht="55.5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8.7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8.7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v>10336.2</v>
      </c>
      <c r="C33" s="40">
        <v>24805.1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</f>
        <v>8091.100000000001</v>
      </c>
      <c r="E33" s="3">
        <f>D33/D153*100</f>
        <v>1.2719407459947962</v>
      </c>
      <c r="F33" s="3">
        <f>D33/B33*100</f>
        <v>78.27925156246978</v>
      </c>
      <c r="G33" s="3">
        <f t="shared" si="0"/>
        <v>32.61869534894035</v>
      </c>
      <c r="H33" s="41">
        <f t="shared" si="2"/>
        <v>2245.0999999999995</v>
      </c>
      <c r="I33" s="41">
        <f t="shared" si="1"/>
        <v>16713.999999999996</v>
      </c>
      <c r="J33" s="162"/>
      <c r="K33" s="154"/>
    </row>
    <row r="34" spans="1:11" s="94" customFormat="1" ht="18">
      <c r="A34" s="103" t="s">
        <v>3</v>
      </c>
      <c r="B34" s="127">
        <v>5214</v>
      </c>
      <c r="C34" s="128">
        <v>12906.6</v>
      </c>
      <c r="D34" s="105">
        <f>364.6+548.1+389.3+522.2+63+395+556.7+63+391.3+512.8+63+394.6</f>
        <v>4263.6</v>
      </c>
      <c r="E34" s="107">
        <f>D34/D33*100</f>
        <v>52.69493641161276</v>
      </c>
      <c r="F34" s="107">
        <f t="shared" si="3"/>
        <v>81.77215189873418</v>
      </c>
      <c r="G34" s="107">
        <f t="shared" si="0"/>
        <v>33.03426154060713</v>
      </c>
      <c r="H34" s="105">
        <f t="shared" si="2"/>
        <v>950.3999999999996</v>
      </c>
      <c r="I34" s="105">
        <f t="shared" si="1"/>
        <v>8643</v>
      </c>
      <c r="K34" s="154"/>
    </row>
    <row r="35" spans="1:11" s="94" customFormat="1" ht="18">
      <c r="A35" s="103" t="s">
        <v>1</v>
      </c>
      <c r="B35" s="127">
        <v>27.1</v>
      </c>
      <c r="C35" s="128">
        <v>81.1</v>
      </c>
      <c r="D35" s="105">
        <f>6.8+8.7+11.6</f>
        <v>27.1</v>
      </c>
      <c r="E35" s="107">
        <f>D35/D33*100</f>
        <v>0.33493591724240207</v>
      </c>
      <c r="F35" s="107">
        <f t="shared" si="3"/>
        <v>100</v>
      </c>
      <c r="G35" s="107">
        <f t="shared" si="0"/>
        <v>33.41553637484587</v>
      </c>
      <c r="H35" s="105">
        <f t="shared" si="2"/>
        <v>0</v>
      </c>
      <c r="I35" s="105">
        <f t="shared" si="1"/>
        <v>53.99999999999999</v>
      </c>
      <c r="K35" s="154"/>
    </row>
    <row r="36" spans="1:11" s="94" customFormat="1" ht="18">
      <c r="A36" s="103" t="s">
        <v>0</v>
      </c>
      <c r="B36" s="127">
        <v>1009.1</v>
      </c>
      <c r="C36" s="128">
        <v>1783</v>
      </c>
      <c r="D36" s="105">
        <f>0.3+11.3+141.7+12.6+0.9+12.9+1.3+0.5+169.4+1.1+0.1+0.4+11.3+166.1+3.8+5.1+2.9+0.2+0.5+11.9+319.9+44.3</f>
        <v>918.4999999999999</v>
      </c>
      <c r="E36" s="107">
        <f>D36/D33*100</f>
        <v>11.35197933531905</v>
      </c>
      <c r="F36" s="107">
        <f t="shared" si="3"/>
        <v>91.02170250718461</v>
      </c>
      <c r="G36" s="107">
        <f t="shared" si="0"/>
        <v>51.51430173864273</v>
      </c>
      <c r="H36" s="105">
        <f t="shared" si="2"/>
        <v>90.60000000000014</v>
      </c>
      <c r="I36" s="105">
        <f t="shared" si="1"/>
        <v>864.5000000000001</v>
      </c>
      <c r="K36" s="154"/>
    </row>
    <row r="37" spans="1:12" s="95" customFormat="1" ht="18">
      <c r="A37" s="118" t="s">
        <v>7</v>
      </c>
      <c r="B37" s="138">
        <v>298.7</v>
      </c>
      <c r="C37" s="139">
        <v>1008</v>
      </c>
      <c r="D37" s="109">
        <f>44.8+25.1+1.6+0.5+2.7+1+6.3+8.5+2.5+36.6+1.5+4.5+23.6+4.1+106.1</f>
        <v>269.4</v>
      </c>
      <c r="E37" s="113">
        <f>D37/D33*100</f>
        <v>3.3295843581218865</v>
      </c>
      <c r="F37" s="113">
        <f t="shared" si="3"/>
        <v>90.19082691663877</v>
      </c>
      <c r="G37" s="113">
        <f t="shared" si="0"/>
        <v>26.726190476190474</v>
      </c>
      <c r="H37" s="109">
        <f t="shared" si="2"/>
        <v>29.30000000000001</v>
      </c>
      <c r="I37" s="109">
        <f t="shared" si="1"/>
        <v>738.6</v>
      </c>
      <c r="K37" s="154"/>
      <c r="L37" s="140"/>
    </row>
    <row r="38" spans="1:11" s="94" customFormat="1" ht="18">
      <c r="A38" s="103" t="s">
        <v>14</v>
      </c>
      <c r="B38" s="127">
        <f>25.5+8.7</f>
        <v>34.2</v>
      </c>
      <c r="C38" s="128">
        <f>80.8+8.7</f>
        <v>89.5</v>
      </c>
      <c r="D38" s="128">
        <f>5.1+5.1+5.1+5.1+5.1</f>
        <v>25.5</v>
      </c>
      <c r="E38" s="107">
        <f>D38/D33*100</f>
        <v>0.3151611029402676</v>
      </c>
      <c r="F38" s="107">
        <f t="shared" si="3"/>
        <v>74.56140350877193</v>
      </c>
      <c r="G38" s="107">
        <f t="shared" si="0"/>
        <v>28.49162011173184</v>
      </c>
      <c r="H38" s="105">
        <f t="shared" si="2"/>
        <v>8.700000000000003</v>
      </c>
      <c r="I38" s="105">
        <f t="shared" si="1"/>
        <v>64</v>
      </c>
      <c r="K38" s="154"/>
    </row>
    <row r="39" spans="1:11" s="94" customFormat="1" ht="18.75" thickBot="1">
      <c r="A39" s="103" t="s">
        <v>27</v>
      </c>
      <c r="B39" s="127">
        <f>B33-B34-B36-B37-B35-B38</f>
        <v>3753.100000000001</v>
      </c>
      <c r="C39" s="127">
        <f>C33-C34-C36-C37-C35-C38</f>
        <v>8936.899999999998</v>
      </c>
      <c r="D39" s="127">
        <f>D33-D34-D36-D37-D35-D38</f>
        <v>2587.000000000001</v>
      </c>
      <c r="E39" s="107">
        <f>D39/D33*100</f>
        <v>31.973402874763636</v>
      </c>
      <c r="F39" s="107">
        <f t="shared" si="3"/>
        <v>68.92968479390372</v>
      </c>
      <c r="G39" s="107">
        <f t="shared" si="0"/>
        <v>28.94739786726943</v>
      </c>
      <c r="H39" s="105">
        <f>B39-D39</f>
        <v>1166.1</v>
      </c>
      <c r="I39" s="105">
        <f t="shared" si="1"/>
        <v>6349.899999999997</v>
      </c>
      <c r="K39" s="154"/>
    </row>
    <row r="40" spans="1:11" ht="18.7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8.7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8.7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8.75" thickBot="1">
      <c r="A43" s="12" t="s">
        <v>16</v>
      </c>
      <c r="B43" s="77">
        <v>1049.7</v>
      </c>
      <c r="C43" s="40">
        <f>1126.9+467</f>
        <v>1593.9</v>
      </c>
      <c r="D43" s="41">
        <f>63.9+1.1+0.6+70.8+0.5+48+6.7+2+13.7+10.4+20.2+0.7</f>
        <v>238.59999999999994</v>
      </c>
      <c r="E43" s="3">
        <f>D43/D153*100</f>
        <v>0.03750850465256371</v>
      </c>
      <c r="F43" s="3">
        <f>D43/B43*100</f>
        <v>22.73030389635133</v>
      </c>
      <c r="G43" s="3">
        <f t="shared" si="0"/>
        <v>14.969571491310617</v>
      </c>
      <c r="H43" s="41">
        <f t="shared" si="2"/>
        <v>811.1000000000001</v>
      </c>
      <c r="I43" s="41">
        <f t="shared" si="1"/>
        <v>1355.3000000000002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5706.5</v>
      </c>
      <c r="C45" s="40">
        <v>13576.3</v>
      </c>
      <c r="D45" s="41">
        <f>237.1+562.8+52.3+349.2+679.9+375.9+891+78.3+327.4+13.5+670.2+386.5</f>
        <v>4624.1</v>
      </c>
      <c r="E45" s="3">
        <f>D45/D153*100</f>
        <v>0.726919850645096</v>
      </c>
      <c r="F45" s="3">
        <f>D45/B45*100</f>
        <v>81.03215631297644</v>
      </c>
      <c r="G45" s="3">
        <f aca="true" t="shared" si="5" ref="G45:G76">D45/C45*100</f>
        <v>34.06009000979649</v>
      </c>
      <c r="H45" s="41">
        <f>B45-D45</f>
        <v>1082.3999999999996</v>
      </c>
      <c r="I45" s="41">
        <f aca="true" t="shared" si="6" ref="I45:I77">C45-D45</f>
        <v>8952.199999999999</v>
      </c>
      <c r="J45" s="94"/>
      <c r="K45" s="154"/>
    </row>
    <row r="46" spans="1:11" s="94" customFormat="1" ht="18">
      <c r="A46" s="103" t="s">
        <v>3</v>
      </c>
      <c r="B46" s="127">
        <v>4987.5</v>
      </c>
      <c r="C46" s="128">
        <v>12256.4</v>
      </c>
      <c r="D46" s="105">
        <f>237.1+551.8+334.1+652.5+314.7+746.1+319.2+661.7+342.8</f>
        <v>4160</v>
      </c>
      <c r="E46" s="107">
        <f>D46/D45*100</f>
        <v>89.96345234748382</v>
      </c>
      <c r="F46" s="107">
        <f aca="true" t="shared" si="7" ref="F46:F74">D46/B46*100</f>
        <v>83.40852130325814</v>
      </c>
      <c r="G46" s="107">
        <f t="shared" si="5"/>
        <v>33.941450997030124</v>
      </c>
      <c r="H46" s="105">
        <f aca="true" t="shared" si="8" ref="H46:H74">B46-D46</f>
        <v>827.5</v>
      </c>
      <c r="I46" s="105">
        <f t="shared" si="6"/>
        <v>8096.4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39.4</v>
      </c>
      <c r="C48" s="128">
        <v>98.9</v>
      </c>
      <c r="D48" s="105">
        <f>5.7+6.1+6.5+7.7</f>
        <v>26</v>
      </c>
      <c r="E48" s="107">
        <f>D48/D45*100</f>
        <v>0.562271577171774</v>
      </c>
      <c r="F48" s="107">
        <f t="shared" si="7"/>
        <v>65.98984771573603</v>
      </c>
      <c r="G48" s="107">
        <f t="shared" si="5"/>
        <v>26.289180990899897</v>
      </c>
      <c r="H48" s="105">
        <f t="shared" si="8"/>
        <v>13.399999999999999</v>
      </c>
      <c r="I48" s="105">
        <f t="shared" si="6"/>
        <v>72.9</v>
      </c>
      <c r="K48" s="154"/>
    </row>
    <row r="49" spans="1:11" s="94" customFormat="1" ht="18">
      <c r="A49" s="103" t="s">
        <v>0</v>
      </c>
      <c r="B49" s="127">
        <v>553.6</v>
      </c>
      <c r="C49" s="128">
        <v>879.8</v>
      </c>
      <c r="D49" s="105">
        <f>7.3+51.9+12.7-0.1+54.5+131.2+49.5+2.4+7.9+11.2</f>
        <v>328.49999999999994</v>
      </c>
      <c r="E49" s="107">
        <f>D49/D45*100</f>
        <v>7.10408511926645</v>
      </c>
      <c r="F49" s="107">
        <f t="shared" si="7"/>
        <v>59.33887283236993</v>
      </c>
      <c r="G49" s="107">
        <f t="shared" si="5"/>
        <v>37.338031370766075</v>
      </c>
      <c r="H49" s="105">
        <f t="shared" si="8"/>
        <v>225.10000000000008</v>
      </c>
      <c r="I49" s="105">
        <f t="shared" si="6"/>
        <v>551.3</v>
      </c>
      <c r="K49" s="154"/>
    </row>
    <row r="50" spans="1:11" s="94" customFormat="1" ht="18.75" thickBot="1">
      <c r="A50" s="103" t="s">
        <v>27</v>
      </c>
      <c r="B50" s="128">
        <f>B45-B46-B49-B48-B47</f>
        <v>125.19999999999997</v>
      </c>
      <c r="C50" s="128">
        <f>C45-C46-C49-C48-C47</f>
        <v>339.6999999999997</v>
      </c>
      <c r="D50" s="128">
        <f>D45-D46-D49-D48-D47</f>
        <v>109.60000000000042</v>
      </c>
      <c r="E50" s="107">
        <f>D50/D45*100</f>
        <v>2.3701909560779484</v>
      </c>
      <c r="F50" s="107">
        <f t="shared" si="7"/>
        <v>87.53993610223677</v>
      </c>
      <c r="G50" s="107">
        <f t="shared" si="5"/>
        <v>32.26376214306757</v>
      </c>
      <c r="H50" s="105">
        <f t="shared" si="8"/>
        <v>15.599999999999554</v>
      </c>
      <c r="I50" s="105">
        <f t="shared" si="6"/>
        <v>230.09999999999928</v>
      </c>
      <c r="K50" s="154"/>
    </row>
    <row r="51" spans="1:11" ht="18.75" thickBot="1">
      <c r="A51" s="20" t="s">
        <v>4</v>
      </c>
      <c r="B51" s="39">
        <v>14103.9</v>
      </c>
      <c r="C51" s="40">
        <v>37135.4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</f>
        <v>11086.699999999999</v>
      </c>
      <c r="E51" s="3">
        <f>D51/D153*100</f>
        <v>1.7428564062513752</v>
      </c>
      <c r="F51" s="3">
        <f>D51/B51*100</f>
        <v>78.60733555966789</v>
      </c>
      <c r="G51" s="3">
        <f t="shared" si="5"/>
        <v>29.854801617863274</v>
      </c>
      <c r="H51" s="41">
        <f>B51-D51</f>
        <v>3017.2000000000007</v>
      </c>
      <c r="I51" s="41">
        <f t="shared" si="6"/>
        <v>26048.700000000004</v>
      </c>
      <c r="J51" s="94"/>
      <c r="K51" s="154"/>
    </row>
    <row r="52" spans="1:11" s="94" customFormat="1" ht="18">
      <c r="A52" s="103" t="s">
        <v>3</v>
      </c>
      <c r="B52" s="127">
        <v>8043.2</v>
      </c>
      <c r="C52" s="128">
        <v>20097.4</v>
      </c>
      <c r="D52" s="105">
        <f>632.9+34.3+767.3+737.6+710.6+649.6+792.4+1.6+643.1+825.6+650.1</f>
        <v>6445.100000000001</v>
      </c>
      <c r="E52" s="107">
        <f>D52/D51*100</f>
        <v>58.13361956217812</v>
      </c>
      <c r="F52" s="107">
        <f t="shared" si="7"/>
        <v>80.13104237119556</v>
      </c>
      <c r="G52" s="107">
        <f t="shared" si="5"/>
        <v>32.06932239991243</v>
      </c>
      <c r="H52" s="105">
        <f t="shared" si="8"/>
        <v>1598.0999999999985</v>
      </c>
      <c r="I52" s="105">
        <f t="shared" si="6"/>
        <v>13652.3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447.9</v>
      </c>
      <c r="C54" s="128">
        <v>993.6</v>
      </c>
      <c r="D54" s="105">
        <f>0.2+4.2+9+4.7+9.6+6.3+43.2+2.7+18.4+3.8+23.8+5.3+12.2+43.2+26.7+3.8+22.4+0.4+59.7+30.3+3.3+19.2</f>
        <v>352.40000000000003</v>
      </c>
      <c r="E54" s="107">
        <f>D54/D51*100</f>
        <v>3.17858334761471</v>
      </c>
      <c r="F54" s="107">
        <f t="shared" si="7"/>
        <v>78.67827640098237</v>
      </c>
      <c r="G54" s="107">
        <f t="shared" si="5"/>
        <v>35.46698872785829</v>
      </c>
      <c r="H54" s="105">
        <f t="shared" si="8"/>
        <v>95.49999999999994</v>
      </c>
      <c r="I54" s="105">
        <f t="shared" si="6"/>
        <v>641.2</v>
      </c>
      <c r="K54" s="154"/>
    </row>
    <row r="55" spans="1:11" s="94" customFormat="1" ht="18">
      <c r="A55" s="103" t="s">
        <v>0</v>
      </c>
      <c r="B55" s="127">
        <v>571.3</v>
      </c>
      <c r="C55" s="128">
        <v>1219.9</v>
      </c>
      <c r="D55" s="105">
        <f>0.5+1+2.8+12.3+8.3+0.5+0.4+8.7+15+0.3+1.3+64.9+33.6+8.1+0.1+94.7+0.3+9.8+7.8+0.9+1.8+16.2+18.3+3.3+0.1+11.4+0.1+11.4+1.3+76.9+6.2+11.6+2.1</f>
        <v>432.00000000000006</v>
      </c>
      <c r="E55" s="107">
        <f>D55/D51*100</f>
        <v>3.896560743954469</v>
      </c>
      <c r="F55" s="107">
        <f t="shared" si="7"/>
        <v>75.61701382811134</v>
      </c>
      <c r="G55" s="107">
        <f t="shared" si="5"/>
        <v>35.412738749077796</v>
      </c>
      <c r="H55" s="105">
        <f t="shared" si="8"/>
        <v>139.2999999999999</v>
      </c>
      <c r="I55" s="105">
        <f t="shared" si="6"/>
        <v>787.9000000000001</v>
      </c>
      <c r="K55" s="154"/>
    </row>
    <row r="56" spans="1:11" s="94" customFormat="1" ht="18">
      <c r="A56" s="103" t="s">
        <v>14</v>
      </c>
      <c r="B56" s="127">
        <v>550</v>
      </c>
      <c r="C56" s="128">
        <v>1320</v>
      </c>
      <c r="D56" s="128">
        <f>110+110+110+110+110</f>
        <v>550</v>
      </c>
      <c r="E56" s="107">
        <f>D56/D51*100</f>
        <v>4.960899095312402</v>
      </c>
      <c r="F56" s="107">
        <f>D56/B56*100</f>
        <v>100</v>
      </c>
      <c r="G56" s="107">
        <f>D56/C56*100</f>
        <v>41.66666666666667</v>
      </c>
      <c r="H56" s="105">
        <f t="shared" si="8"/>
        <v>0</v>
      </c>
      <c r="I56" s="105">
        <f t="shared" si="6"/>
        <v>770</v>
      </c>
      <c r="K56" s="154"/>
    </row>
    <row r="57" spans="1:11" s="94" customFormat="1" ht="18.75" thickBot="1">
      <c r="A57" s="103" t="s">
        <v>27</v>
      </c>
      <c r="B57" s="128">
        <f>B51-B52-B55-B54-B53-B56</f>
        <v>4491.5</v>
      </c>
      <c r="C57" s="128">
        <f>C51-C52-C55-C54-C53-C56</f>
        <v>13490.6</v>
      </c>
      <c r="D57" s="128">
        <f>D51-D52-D55-D54-D53-D56</f>
        <v>3307.1999999999975</v>
      </c>
      <c r="E57" s="107">
        <f>D57/D51*100</f>
        <v>29.830337250940296</v>
      </c>
      <c r="F57" s="107">
        <f t="shared" si="7"/>
        <v>73.63241678726477</v>
      </c>
      <c r="G57" s="107">
        <f t="shared" si="5"/>
        <v>24.514847375209385</v>
      </c>
      <c r="H57" s="105">
        <f>B57-D57</f>
        <v>1184.3000000000025</v>
      </c>
      <c r="I57" s="105">
        <f>C57-D57</f>
        <v>10183.400000000003</v>
      </c>
      <c r="K57" s="154"/>
    </row>
    <row r="58" spans="1:11" s="32" customFormat="1" ht="18.7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v>1632.1</v>
      </c>
      <c r="C59" s="40">
        <v>9264.2</v>
      </c>
      <c r="D59" s="41">
        <f>87.7+79.1+87.8+43.2+40.5+47.6+13+155.9+18+2.1+84.2+29.6+0.7+0.5+5.7+85.8+109.2+19+38.3+85.7+1.2+4.7+89.8+79.1+0.4+114.1</f>
        <v>1322.9</v>
      </c>
      <c r="E59" s="3">
        <f>D59/D153*100</f>
        <v>0.20796312156276842</v>
      </c>
      <c r="F59" s="3">
        <f>D59/B59*100</f>
        <v>81.05508240916612</v>
      </c>
      <c r="G59" s="3">
        <f t="shared" si="5"/>
        <v>14.27970035189223</v>
      </c>
      <c r="H59" s="41">
        <f>B59-D59</f>
        <v>309.1999999999998</v>
      </c>
      <c r="I59" s="41">
        <f t="shared" si="6"/>
        <v>7941.300000000001</v>
      </c>
      <c r="J59" s="94"/>
      <c r="K59" s="154"/>
    </row>
    <row r="60" spans="1:11" s="94" customFormat="1" ht="18">
      <c r="A60" s="103" t="s">
        <v>3</v>
      </c>
      <c r="B60" s="127">
        <v>1268.68</v>
      </c>
      <c r="C60" s="128">
        <v>3119.7</v>
      </c>
      <c r="D60" s="105">
        <f>77.7+79.1+76.9+40.5+47.3+155.9+45+29.2+85.8+95.3+38.3+30.7+89.8+79.1+80.7</f>
        <v>1051.3</v>
      </c>
      <c r="E60" s="107">
        <f>D60/D59*100</f>
        <v>79.46934764532466</v>
      </c>
      <c r="F60" s="107">
        <f t="shared" si="7"/>
        <v>82.86565564208468</v>
      </c>
      <c r="G60" s="107">
        <f t="shared" si="5"/>
        <v>33.69875308523255</v>
      </c>
      <c r="H60" s="105">
        <f t="shared" si="8"/>
        <v>217.3800000000001</v>
      </c>
      <c r="I60" s="105">
        <f t="shared" si="6"/>
        <v>2068.3999999999996</v>
      </c>
      <c r="K60" s="154"/>
    </row>
    <row r="61" spans="1:11" s="94" customFormat="1" ht="18">
      <c r="A61" s="103" t="s">
        <v>1</v>
      </c>
      <c r="B61" s="127">
        <v>0</v>
      </c>
      <c r="C61" s="128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4"/>
    </row>
    <row r="62" spans="1:11" s="94" customFormat="1" ht="18">
      <c r="A62" s="103" t="s">
        <v>0</v>
      </c>
      <c r="B62" s="127">
        <v>236.7</v>
      </c>
      <c r="C62" s="128">
        <v>393.7</v>
      </c>
      <c r="D62" s="105">
        <f>10.9+43.2+13-3+39.2+5.7+50.2+3.5+0.2+29.7</f>
        <v>192.59999999999997</v>
      </c>
      <c r="E62" s="107">
        <f>D62/D59*100</f>
        <v>14.558923576989944</v>
      </c>
      <c r="F62" s="107">
        <f t="shared" si="7"/>
        <v>81.36882129277565</v>
      </c>
      <c r="G62" s="107">
        <f t="shared" si="5"/>
        <v>48.92049784099567</v>
      </c>
      <c r="H62" s="105">
        <f t="shared" si="8"/>
        <v>44.10000000000002</v>
      </c>
      <c r="I62" s="105">
        <f t="shared" si="6"/>
        <v>201.10000000000002</v>
      </c>
      <c r="K62" s="154"/>
    </row>
    <row r="63" spans="1:11" s="94" customFormat="1" ht="18">
      <c r="A63" s="103" t="s">
        <v>14</v>
      </c>
      <c r="B63" s="127">
        <v>0</v>
      </c>
      <c r="C63" s="128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126.71999999999986</v>
      </c>
      <c r="C64" s="128">
        <f>C59-C60-C62-C63-C61</f>
        <v>523.5000000000007</v>
      </c>
      <c r="D64" s="128">
        <f>D59-D60-D62-D63-D61</f>
        <v>79.00000000000017</v>
      </c>
      <c r="E64" s="107">
        <f>D64/D59*100</f>
        <v>5.9717287776854</v>
      </c>
      <c r="F64" s="107">
        <f t="shared" si="7"/>
        <v>62.34217171717192</v>
      </c>
      <c r="G64" s="107">
        <f t="shared" si="5"/>
        <v>15.09073543457499</v>
      </c>
      <c r="H64" s="105">
        <f t="shared" si="8"/>
        <v>47.719999999999686</v>
      </c>
      <c r="I64" s="105">
        <f t="shared" si="6"/>
        <v>444.5000000000005</v>
      </c>
      <c r="K64" s="154"/>
    </row>
    <row r="65" spans="1:11" s="32" customFormat="1" ht="18.7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.7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.7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.7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340.36</v>
      </c>
      <c r="C69" s="40">
        <f>C70+C71</f>
        <v>555.8</v>
      </c>
      <c r="D69" s="41">
        <f>D70+D71</f>
        <v>169.5</v>
      </c>
      <c r="E69" s="30">
        <f>D69/D153*100</f>
        <v>0.02664581533365277</v>
      </c>
      <c r="F69" s="3">
        <f>D69/B69*100</f>
        <v>49.80021154072159</v>
      </c>
      <c r="G69" s="3">
        <f t="shared" si="5"/>
        <v>30.49658150413818</v>
      </c>
      <c r="H69" s="41">
        <f>B69-D69</f>
        <v>170.86</v>
      </c>
      <c r="I69" s="41">
        <f t="shared" si="6"/>
        <v>386.29999999999995</v>
      </c>
      <c r="J69" s="94"/>
      <c r="K69" s="154"/>
    </row>
    <row r="70" spans="1:11" s="94" customFormat="1" ht="18">
      <c r="A70" s="103" t="s">
        <v>8</v>
      </c>
      <c r="B70" s="127">
        <v>250.36</v>
      </c>
      <c r="C70" s="128">
        <v>292.7</v>
      </c>
      <c r="D70" s="105">
        <v>169.5</v>
      </c>
      <c r="E70" s="107">
        <f>D70/D69*100</f>
        <v>100</v>
      </c>
      <c r="F70" s="107">
        <f t="shared" si="7"/>
        <v>67.70250838792138</v>
      </c>
      <c r="G70" s="107">
        <f t="shared" si="5"/>
        <v>57.90912196788521</v>
      </c>
      <c r="H70" s="105">
        <f t="shared" si="8"/>
        <v>80.86000000000001</v>
      </c>
      <c r="I70" s="105">
        <f t="shared" si="6"/>
        <v>123.19999999999999</v>
      </c>
      <c r="K70" s="154"/>
    </row>
    <row r="71" spans="1:11" s="94" customFormat="1" ht="18.75" thickBot="1">
      <c r="A71" s="103" t="s">
        <v>9</v>
      </c>
      <c r="B71" s="127">
        <v>90</v>
      </c>
      <c r="C71" s="128">
        <f>293.1-30</f>
        <v>263.1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90</v>
      </c>
      <c r="I71" s="105">
        <f t="shared" si="6"/>
        <v>263.1</v>
      </c>
      <c r="K71" s="154"/>
    </row>
    <row r="72" spans="1:11" ht="36.7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.7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.75" thickBot="1">
      <c r="A77" s="23" t="s">
        <v>13</v>
      </c>
      <c r="B77" s="47">
        <v>0</v>
      </c>
      <c r="C77" s="54">
        <v>17000</v>
      </c>
      <c r="D77" s="55"/>
      <c r="E77" s="35"/>
      <c r="F77" s="35"/>
      <c r="G77" s="35"/>
      <c r="H77" s="55">
        <f>B77-D77</f>
        <v>0</v>
      </c>
      <c r="I77" s="55">
        <f t="shared" si="6"/>
        <v>17000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2.2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D84/D153*100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D87/D153*100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.75" thickBot="1">
      <c r="A90" s="12" t="s">
        <v>10</v>
      </c>
      <c r="B90" s="46">
        <v>87211.2</v>
      </c>
      <c r="C90" s="40">
        <f>200580.6+2044.4</f>
        <v>202625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</f>
        <v>68798.5</v>
      </c>
      <c r="E90" s="3">
        <f>D90/D153*100</f>
        <v>10.815292780131621</v>
      </c>
      <c r="F90" s="3">
        <f aca="true" t="shared" si="11" ref="F90:F96">D90/B90*100</f>
        <v>78.88723008054012</v>
      </c>
      <c r="G90" s="3">
        <f t="shared" si="9"/>
        <v>33.95360888340531</v>
      </c>
      <c r="H90" s="41">
        <f aca="true" t="shared" si="12" ref="H90:H96">B90-D90</f>
        <v>18412.699999999997</v>
      </c>
      <c r="I90" s="41">
        <f t="shared" si="10"/>
        <v>133826.5</v>
      </c>
      <c r="J90" s="170"/>
      <c r="K90" s="154"/>
    </row>
    <row r="91" spans="1:11" s="94" customFormat="1" ht="18">
      <c r="A91" s="103" t="s">
        <v>3</v>
      </c>
      <c r="B91" s="127">
        <v>82395.6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</f>
        <v>65912.90999999997</v>
      </c>
      <c r="E91" s="107">
        <f>D91/D90*100</f>
        <v>95.80573704368551</v>
      </c>
      <c r="F91" s="107">
        <f t="shared" si="11"/>
        <v>79.99566724436738</v>
      </c>
      <c r="G91" s="107">
        <f t="shared" si="9"/>
        <v>34.69953404336749</v>
      </c>
      <c r="H91" s="105">
        <f t="shared" si="12"/>
        <v>16482.69000000003</v>
      </c>
      <c r="I91" s="105">
        <f t="shared" si="10"/>
        <v>124040.39000000001</v>
      </c>
      <c r="J91" s="170"/>
      <c r="K91" s="154"/>
    </row>
    <row r="92" spans="1:11" s="94" customFormat="1" ht="18">
      <c r="A92" s="103" t="s">
        <v>25</v>
      </c>
      <c r="B92" s="127">
        <v>1437.9</v>
      </c>
      <c r="C92" s="128">
        <v>2776.4</v>
      </c>
      <c r="D92" s="105">
        <f>57.2+3.4+167+1.4+0.3+83.4+86.9+53.1+5.3+4.7+17+71.3+284.2+22.2+4.8+1.6+54.8+7+38.2+1.9</f>
        <v>965.7</v>
      </c>
      <c r="E92" s="107">
        <f>D92/D90*100</f>
        <v>1.4036643240768332</v>
      </c>
      <c r="F92" s="107">
        <f t="shared" si="11"/>
        <v>67.16044231170457</v>
      </c>
      <c r="G92" s="107">
        <f t="shared" si="9"/>
        <v>34.78245209623974</v>
      </c>
      <c r="H92" s="105">
        <f t="shared" si="12"/>
        <v>472.20000000000005</v>
      </c>
      <c r="I92" s="105">
        <f t="shared" si="10"/>
        <v>1810.7</v>
      </c>
      <c r="J92" s="170"/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70"/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3377.699999999991</v>
      </c>
      <c r="C94" s="128">
        <f>C90-C91-C92-C93</f>
        <v>9895.300000000012</v>
      </c>
      <c r="D94" s="128">
        <f>D90-D91-D92-D93</f>
        <v>1919.8900000000256</v>
      </c>
      <c r="E94" s="107">
        <f>D94/D90*100</f>
        <v>2.790598632237659</v>
      </c>
      <c r="F94" s="107">
        <f t="shared" si="11"/>
        <v>56.84015750362763</v>
      </c>
      <c r="G94" s="107">
        <f>D94/C94*100</f>
        <v>19.402039352015837</v>
      </c>
      <c r="H94" s="105">
        <f t="shared" si="12"/>
        <v>1457.8099999999656</v>
      </c>
      <c r="I94" s="105">
        <f>C94-D94</f>
        <v>7975.409999999986</v>
      </c>
      <c r="J94" s="170"/>
      <c r="K94" s="154"/>
    </row>
    <row r="95" spans="1:11" ht="18">
      <c r="A95" s="83" t="s">
        <v>12</v>
      </c>
      <c r="B95" s="92">
        <f>19652.3-477.7</f>
        <v>19174.6</v>
      </c>
      <c r="C95" s="86">
        <f>46414.5+100+39.4+1153.5</f>
        <v>47707.4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</f>
        <v>13733.000000000002</v>
      </c>
      <c r="E95" s="82">
        <f>D95/D153*100</f>
        <v>2.1588612506020857</v>
      </c>
      <c r="F95" s="84">
        <f t="shared" si="11"/>
        <v>71.62079000344207</v>
      </c>
      <c r="G95" s="81">
        <f>D95/C95*100</f>
        <v>28.785890658472272</v>
      </c>
      <c r="H95" s="85">
        <f t="shared" si="12"/>
        <v>5441.599999999997</v>
      </c>
      <c r="I95" s="88">
        <f>C95-D95</f>
        <v>33974.4</v>
      </c>
      <c r="J95" s="94"/>
      <c r="K95" s="154"/>
    </row>
    <row r="96" spans="1:11" s="94" customFormat="1" ht="18.75" thickBot="1">
      <c r="A96" s="130" t="s">
        <v>83</v>
      </c>
      <c r="B96" s="131">
        <v>5686.3</v>
      </c>
      <c r="C96" s="132">
        <v>12814.2</v>
      </c>
      <c r="D96" s="133">
        <f>194.6+1234+3.4+0.5+79.6+1026.4+0.7+86.4+939.3+4.2+87.7+624.7+8+489.4</f>
        <v>4778.899999999999</v>
      </c>
      <c r="E96" s="134">
        <f>D96/D95*100</f>
        <v>34.7986601616544</v>
      </c>
      <c r="F96" s="135">
        <f t="shared" si="11"/>
        <v>84.04234739637371</v>
      </c>
      <c r="G96" s="136">
        <f>D96/C96*100</f>
        <v>37.29378345897519</v>
      </c>
      <c r="H96" s="137">
        <f t="shared" si="12"/>
        <v>907.4000000000015</v>
      </c>
      <c r="I96" s="126">
        <f>C96-D96</f>
        <v>8035.300000000002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.75" hidden="1" thickBot="1">
      <c r="A98" s="25" t="s">
        <v>37</v>
      </c>
      <c r="B98" s="60"/>
      <c r="C98" s="61"/>
      <c r="D98" s="62"/>
      <c r="E98" s="3">
        <f>D98/D153*100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.75" thickBot="1">
      <c r="A102" s="12" t="s">
        <v>11</v>
      </c>
      <c r="B102" s="91">
        <v>5410.9</v>
      </c>
      <c r="C102" s="71">
        <f>11266.5-91.2</f>
        <v>11175.3</v>
      </c>
      <c r="D102" s="66">
        <f>144.5+120.5+0.1+30.9+51.6+143.8+13.5+25.2+149.6+13.2+89.8+139.8+98.3+5.4+242.1+58+93.2+85.3+255.7+143.6+0.2+288+23.7+143.3+300.5+112.9+1.3+105.1+102.9+152.8+111.4+8.9+27.7+4.2+19.6+31+32.7+235.7+6.8+148.9+7.7+39+92.5+5.9</f>
        <v>3906.8</v>
      </c>
      <c r="E102" s="17">
        <f>D102/D153*100</f>
        <v>0.6141585330118857</v>
      </c>
      <c r="F102" s="17">
        <f>D102/B102*100</f>
        <v>72.20240625404277</v>
      </c>
      <c r="G102" s="17">
        <f aca="true" t="shared" si="14" ref="G102:G151">D102/C102*100</f>
        <v>34.95924046781742</v>
      </c>
      <c r="H102" s="66">
        <f aca="true" t="shared" si="15" ref="H102:H107">B102-D102</f>
        <v>1504.0999999999995</v>
      </c>
      <c r="I102" s="66">
        <f aca="true" t="shared" si="16" ref="I102:I151">C102-D102</f>
        <v>7268.499999999999</v>
      </c>
      <c r="J102" s="95"/>
      <c r="K102" s="154"/>
    </row>
    <row r="103" spans="1:11" s="94" customFormat="1" ht="18.75" customHeight="1">
      <c r="A103" s="103" t="s">
        <v>3</v>
      </c>
      <c r="B103" s="119">
        <v>109.13</v>
      </c>
      <c r="C103" s="120">
        <v>363.8</v>
      </c>
      <c r="D103" s="120">
        <v>31.2</v>
      </c>
      <c r="E103" s="121">
        <f>D103/D102*100</f>
        <v>0.7986075560561072</v>
      </c>
      <c r="F103" s="107">
        <f>D103/B103*100</f>
        <v>28.58975533767067</v>
      </c>
      <c r="G103" s="121">
        <f>D103/C103*100</f>
        <v>8.5761407366685</v>
      </c>
      <c r="H103" s="120">
        <f t="shared" si="15"/>
        <v>77.92999999999999</v>
      </c>
      <c r="I103" s="120">
        <f t="shared" si="16"/>
        <v>332.6</v>
      </c>
      <c r="K103" s="154"/>
    </row>
    <row r="104" spans="1:11" s="94" customFormat="1" ht="18">
      <c r="A104" s="122" t="s">
        <v>48</v>
      </c>
      <c r="B104" s="104">
        <v>4556.9</v>
      </c>
      <c r="C104" s="105">
        <f>8949.2-91.2</f>
        <v>8858</v>
      </c>
      <c r="D104" s="105">
        <f>144.4+120.5+0.1+30.9+51.6+143.7+13.5+25.2+149.6+13.2+89.8+139.7+98.3+5.4+242.1+58+85.3+255.7+143.8+288+14+143.1+279.2+72.1+105.1+85.1+152.8+111.4+4.2+3.8+32.7+179.1+117.7+1.8+39+92.5+1.8</f>
        <v>3534.2</v>
      </c>
      <c r="E104" s="107">
        <f>D104/D102*100</f>
        <v>90.46278284017609</v>
      </c>
      <c r="F104" s="107">
        <f aca="true" t="shared" si="17" ref="F104:F151">D104/B104*100</f>
        <v>77.55711119401347</v>
      </c>
      <c r="G104" s="107">
        <f t="shared" si="14"/>
        <v>39.898396929329415</v>
      </c>
      <c r="H104" s="105">
        <f t="shared" si="15"/>
        <v>1022.6999999999998</v>
      </c>
      <c r="I104" s="105">
        <f t="shared" si="16"/>
        <v>5323.8</v>
      </c>
      <c r="K104" s="154"/>
    </row>
    <row r="105" spans="1:11" s="94" customFormat="1" ht="55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744.8699999999999</v>
      </c>
      <c r="C106" s="124">
        <f>C102-C103-C104</f>
        <v>1953.5</v>
      </c>
      <c r="D106" s="124">
        <f>D102-D103-D104</f>
        <v>341.40000000000055</v>
      </c>
      <c r="E106" s="125">
        <f>D106/D102*100</f>
        <v>8.738609603767802</v>
      </c>
      <c r="F106" s="125">
        <f t="shared" si="17"/>
        <v>45.833501147851386</v>
      </c>
      <c r="G106" s="125">
        <f t="shared" si="14"/>
        <v>17.476324545687255</v>
      </c>
      <c r="H106" s="126">
        <f>B106-D106</f>
        <v>403.46999999999935</v>
      </c>
      <c r="I106" s="126">
        <f t="shared" si="16"/>
        <v>1612.0999999999995</v>
      </c>
      <c r="K106" s="154"/>
    </row>
    <row r="107" spans="1:12" s="2" customFormat="1" ht="26.25" customHeight="1" thickBot="1">
      <c r="A107" s="67" t="s">
        <v>28</v>
      </c>
      <c r="B107" s="68">
        <f>SUM(B108:B150)-B115-B119+B151-B141-B142-B109-B112-B122-B123-B139-B132-B130-B137</f>
        <v>174581.19999999995</v>
      </c>
      <c r="C107" s="68">
        <f>SUM(C108:C150)-C115-C119+C151-C141-C142-C109-C112-C122-C123-C139-C132-C130-C137</f>
        <v>519888.10000000003</v>
      </c>
      <c r="D107" s="68">
        <f>SUM(D108:D150)-D115-D119+D151-D141-D142-D109-D112-D122-D123-D139-D132-D130-D137</f>
        <v>89992.9</v>
      </c>
      <c r="E107" s="69">
        <f>D107/D153*100</f>
        <v>14.147104393745606</v>
      </c>
      <c r="F107" s="69">
        <f>D107/B107*100</f>
        <v>51.54787571628562</v>
      </c>
      <c r="G107" s="69">
        <f t="shared" si="14"/>
        <v>17.310051913094373</v>
      </c>
      <c r="H107" s="68">
        <f t="shared" si="15"/>
        <v>84588.29999999996</v>
      </c>
      <c r="I107" s="68">
        <f t="shared" si="16"/>
        <v>429895.20000000007</v>
      </c>
      <c r="J107" s="114"/>
      <c r="K107" s="154"/>
      <c r="L107" s="97"/>
    </row>
    <row r="108" spans="1:12" s="94" customFormat="1" ht="36.75">
      <c r="A108" s="98" t="s">
        <v>52</v>
      </c>
      <c r="B108" s="165">
        <v>1966.6</v>
      </c>
      <c r="C108" s="161">
        <v>4459</v>
      </c>
      <c r="D108" s="99">
        <f>17.1+81.1+17.3+60.5+173.3+3.4+2+0.4+29.3+1.7+177.1+0.8+38.8+139.8+0.3+1.9+1.8+6.5+136+91.3+0.1+1.8+1.1+2.4+3.5+2+3.4+72.2+73.1+42.5+21.2+13.2</f>
        <v>1216.8999999999996</v>
      </c>
      <c r="E108" s="100">
        <f>D108/D107*100</f>
        <v>1.3522177860697897</v>
      </c>
      <c r="F108" s="100">
        <f t="shared" si="17"/>
        <v>61.87836875826298</v>
      </c>
      <c r="G108" s="100">
        <f t="shared" si="14"/>
        <v>27.2908723929132</v>
      </c>
      <c r="H108" s="101">
        <f>B108-D108</f>
        <v>749.7000000000003</v>
      </c>
      <c r="I108" s="101">
        <f t="shared" si="16"/>
        <v>3242.1000000000004</v>
      </c>
      <c r="K108" s="154"/>
      <c r="L108" s="102"/>
    </row>
    <row r="109" spans="1:12" s="94" customFormat="1" ht="18">
      <c r="A109" s="103" t="s">
        <v>25</v>
      </c>
      <c r="B109" s="166">
        <v>923</v>
      </c>
      <c r="C109" s="105">
        <v>1995</v>
      </c>
      <c r="D109" s="106">
        <f>47.8+0.9+59.7+88.3+0.1+59.2+38.8+107.4+24+91.1+38+42.5+2</f>
        <v>599.8000000000001</v>
      </c>
      <c r="E109" s="107">
        <f>D109/D108*100</f>
        <v>49.28917741802944</v>
      </c>
      <c r="F109" s="107">
        <f t="shared" si="17"/>
        <v>64.98374864572048</v>
      </c>
      <c r="G109" s="107">
        <f t="shared" si="14"/>
        <v>30.065162907268174</v>
      </c>
      <c r="H109" s="105">
        <f aca="true" t="shared" si="18" ref="H109:H151">B109-D109</f>
        <v>323.19999999999993</v>
      </c>
      <c r="I109" s="105">
        <f t="shared" si="16"/>
        <v>1395.1999999999998</v>
      </c>
      <c r="K109" s="154"/>
      <c r="L109" s="102"/>
    </row>
    <row r="110" spans="1:12" s="94" customFormat="1" ht="34.5" customHeight="1" hidden="1">
      <c r="A110" s="108" t="s">
        <v>78</v>
      </c>
      <c r="B110" s="164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7">
        <v>96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96</v>
      </c>
      <c r="I111" s="101">
        <f t="shared" si="16"/>
        <v>200</v>
      </c>
      <c r="K111" s="154"/>
      <c r="L111" s="102"/>
    </row>
    <row r="112" spans="1:12" s="94" customFormat="1" ht="18" hidden="1">
      <c r="A112" s="103" t="s">
        <v>25</v>
      </c>
      <c r="B112" s="163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">
      <c r="A113" s="108" t="s">
        <v>89</v>
      </c>
      <c r="B113" s="167">
        <v>35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35</v>
      </c>
      <c r="I113" s="101">
        <f t="shared" si="16"/>
        <v>64.3</v>
      </c>
      <c r="K113" s="154"/>
      <c r="L113" s="102"/>
    </row>
    <row r="114" spans="1:12" s="94" customFormat="1" ht="36.75">
      <c r="A114" s="108" t="s">
        <v>38</v>
      </c>
      <c r="B114" s="167">
        <v>1415.3</v>
      </c>
      <c r="C114" s="101">
        <v>3311.5</v>
      </c>
      <c r="D114" s="99">
        <f>136.4+10+40+6.6+6.1+0.2+177.4+10+1.8+25.1+29.4+48.1+8.1+193.1+10+0.1+17.8+8.8+132.4+79.7+12.6+4.3</f>
        <v>958</v>
      </c>
      <c r="E114" s="100">
        <f>D114/D107*100</f>
        <v>1.0645284239089974</v>
      </c>
      <c r="F114" s="100">
        <f t="shared" si="17"/>
        <v>67.6888292234862</v>
      </c>
      <c r="G114" s="100">
        <f t="shared" si="14"/>
        <v>28.92948814736524</v>
      </c>
      <c r="H114" s="101">
        <f t="shared" si="18"/>
        <v>457.29999999999995</v>
      </c>
      <c r="I114" s="101">
        <f t="shared" si="16"/>
        <v>2353.5</v>
      </c>
      <c r="K114" s="154"/>
      <c r="L114" s="102"/>
    </row>
    <row r="115" spans="1:12" s="94" customFormat="1" ht="18" hidden="1">
      <c r="A115" s="112" t="s">
        <v>43</v>
      </c>
      <c r="B115" s="163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4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6.75">
      <c r="A117" s="108" t="s">
        <v>47</v>
      </c>
      <c r="B117" s="167">
        <v>149</v>
      </c>
      <c r="C117" s="101">
        <v>200</v>
      </c>
      <c r="D117" s="99">
        <v>15</v>
      </c>
      <c r="E117" s="100">
        <f>D117/D107*100</f>
        <v>0.016667981585213945</v>
      </c>
      <c r="F117" s="100">
        <f>D117/B117*100</f>
        <v>10.06711409395973</v>
      </c>
      <c r="G117" s="100">
        <f t="shared" si="14"/>
        <v>7.5</v>
      </c>
      <c r="H117" s="101">
        <f t="shared" si="18"/>
        <v>134</v>
      </c>
      <c r="I117" s="101">
        <f t="shared" si="16"/>
        <v>185</v>
      </c>
      <c r="K117" s="154"/>
      <c r="L117" s="102"/>
    </row>
    <row r="118" spans="1:12" s="114" customFormat="1" ht="18">
      <c r="A118" s="108" t="s">
        <v>15</v>
      </c>
      <c r="B118" s="167">
        <v>261.3</v>
      </c>
      <c r="C118" s="109">
        <v>491.6</v>
      </c>
      <c r="D118" s="99">
        <f>45.4+9.9+47+6.4+0.4+0.4+45.4+0.4+2.9+45.4+4+6.8+0.4</f>
        <v>214.80000000000004</v>
      </c>
      <c r="E118" s="100">
        <f>D118/D107*100</f>
        <v>0.23868549630026376</v>
      </c>
      <c r="F118" s="100">
        <f t="shared" si="17"/>
        <v>82.20436280137774</v>
      </c>
      <c r="G118" s="100">
        <f t="shared" si="14"/>
        <v>43.69406021155412</v>
      </c>
      <c r="H118" s="101">
        <f t="shared" si="18"/>
        <v>46.49999999999997</v>
      </c>
      <c r="I118" s="101">
        <f t="shared" si="16"/>
        <v>276.79999999999995</v>
      </c>
      <c r="K118" s="154"/>
      <c r="L118" s="102"/>
    </row>
    <row r="119" spans="1:12" s="115" customFormat="1" ht="18">
      <c r="A119" s="112" t="s">
        <v>43</v>
      </c>
      <c r="B119" s="166">
        <v>227.1</v>
      </c>
      <c r="C119" s="105">
        <v>408.8</v>
      </c>
      <c r="D119" s="106">
        <f>45.4+45.4+45.4+45.4</f>
        <v>181.6</v>
      </c>
      <c r="E119" s="107">
        <f>D119/D118*100</f>
        <v>84.54376163873368</v>
      </c>
      <c r="F119" s="107">
        <f t="shared" si="17"/>
        <v>79.96477322765301</v>
      </c>
      <c r="G119" s="107">
        <f t="shared" si="14"/>
        <v>44.422700587084144</v>
      </c>
      <c r="H119" s="105">
        <f t="shared" si="18"/>
        <v>45.5</v>
      </c>
      <c r="I119" s="105">
        <f t="shared" si="16"/>
        <v>227.20000000000002</v>
      </c>
      <c r="K119" s="154"/>
      <c r="L119" s="102"/>
    </row>
    <row r="120" spans="1:12" s="114" customFormat="1" ht="18">
      <c r="A120" s="108" t="s">
        <v>105</v>
      </c>
      <c r="B120" s="167">
        <v>85</v>
      </c>
      <c r="C120" s="109">
        <v>317</v>
      </c>
      <c r="D120" s="99">
        <v>3.6</v>
      </c>
      <c r="E120" s="100">
        <f>D120/D107*100</f>
        <v>0.0040003155804513475</v>
      </c>
      <c r="F120" s="100">
        <f t="shared" si="17"/>
        <v>4.235294117647059</v>
      </c>
      <c r="G120" s="100">
        <f t="shared" si="14"/>
        <v>1.135646687697161</v>
      </c>
      <c r="H120" s="101">
        <f t="shared" si="18"/>
        <v>81.4</v>
      </c>
      <c r="I120" s="101">
        <f t="shared" si="16"/>
        <v>313.4</v>
      </c>
      <c r="K120" s="154"/>
      <c r="L120" s="102"/>
    </row>
    <row r="121" spans="1:12" s="114" customFormat="1" ht="21.75" customHeight="1">
      <c r="A121" s="108" t="s">
        <v>94</v>
      </c>
      <c r="B121" s="167">
        <v>480</v>
      </c>
      <c r="C121" s="109">
        <f>480+80</f>
        <v>560</v>
      </c>
      <c r="D121" s="110">
        <f>12</f>
        <v>12</v>
      </c>
      <c r="E121" s="113">
        <f>D121/D107*100</f>
        <v>0.013334385268171158</v>
      </c>
      <c r="F121" s="100">
        <f t="shared" si="17"/>
        <v>2.5</v>
      </c>
      <c r="G121" s="100">
        <f t="shared" si="14"/>
        <v>2.142857142857143</v>
      </c>
      <c r="H121" s="101">
        <f t="shared" si="18"/>
        <v>468</v>
      </c>
      <c r="I121" s="101">
        <f t="shared" si="16"/>
        <v>548</v>
      </c>
      <c r="K121" s="154"/>
      <c r="L121" s="102"/>
    </row>
    <row r="122" spans="1:12" s="117" customFormat="1" ht="18" hidden="1">
      <c r="A122" s="103" t="s">
        <v>80</v>
      </c>
      <c r="B122" s="163"/>
      <c r="C122" s="105"/>
      <c r="D122" s="106"/>
      <c r="E122" s="100"/>
      <c r="F122" s="116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4"/>
      <c r="L122" s="102"/>
    </row>
    <row r="123" spans="1:12" s="117" customFormat="1" ht="18" hidden="1">
      <c r="A123" s="103" t="s">
        <v>49</v>
      </c>
      <c r="B123" s="163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4" customFormat="1" ht="36.75">
      <c r="A124" s="108" t="s">
        <v>95</v>
      </c>
      <c r="B124" s="167">
        <f>19961+1477.7</f>
        <v>21438.7</v>
      </c>
      <c r="C124" s="109">
        <v>45511.3</v>
      </c>
      <c r="D124" s="110">
        <f>3529.6+2264.3+1265.3+2996.5+533.1+738.7+2380.2+1722.3+1049.4+1874.1+1476.2+1455.5</f>
        <v>21285.2</v>
      </c>
      <c r="E124" s="113">
        <f>D124/D107*100</f>
        <v>23.652088109173057</v>
      </c>
      <c r="F124" s="100">
        <f t="shared" si="17"/>
        <v>99.28400509359243</v>
      </c>
      <c r="G124" s="100">
        <f t="shared" si="14"/>
        <v>46.769044171447526</v>
      </c>
      <c r="H124" s="101">
        <f t="shared" si="18"/>
        <v>153.5</v>
      </c>
      <c r="I124" s="101">
        <f t="shared" si="16"/>
        <v>24226.100000000002</v>
      </c>
      <c r="K124" s="154"/>
      <c r="L124" s="102"/>
    </row>
    <row r="125" spans="1:12" s="114" customFormat="1" ht="18">
      <c r="A125" s="108" t="s">
        <v>91</v>
      </c>
      <c r="B125" s="167">
        <v>100</v>
      </c>
      <c r="C125" s="109">
        <v>700</v>
      </c>
      <c r="D125" s="110"/>
      <c r="E125" s="113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100</v>
      </c>
      <c r="I125" s="101">
        <f t="shared" si="16"/>
        <v>700</v>
      </c>
      <c r="K125" s="154"/>
      <c r="L125" s="102"/>
    </row>
    <row r="126" spans="1:12" s="114" customFormat="1" ht="36.75">
      <c r="A126" s="108" t="s">
        <v>100</v>
      </c>
      <c r="B126" s="167">
        <v>200</v>
      </c>
      <c r="C126" s="109">
        <v>200</v>
      </c>
      <c r="D126" s="110"/>
      <c r="E126" s="113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200</v>
      </c>
      <c r="I126" s="101">
        <f t="shared" si="16"/>
        <v>200</v>
      </c>
      <c r="K126" s="154"/>
      <c r="L126" s="102"/>
    </row>
    <row r="127" spans="1:12" s="114" customFormat="1" ht="36.75">
      <c r="A127" s="108" t="s">
        <v>85</v>
      </c>
      <c r="B127" s="167">
        <v>74</v>
      </c>
      <c r="C127" s="109">
        <f>111.1</f>
        <v>111.1</v>
      </c>
      <c r="D127" s="110"/>
      <c r="E127" s="113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74</v>
      </c>
      <c r="I127" s="101">
        <f t="shared" si="16"/>
        <v>111.1</v>
      </c>
      <c r="K127" s="154"/>
      <c r="L127" s="102"/>
    </row>
    <row r="128" spans="1:12" s="114" customFormat="1" ht="18" hidden="1">
      <c r="A128" s="112" t="s">
        <v>83</v>
      </c>
      <c r="B128" s="164"/>
      <c r="C128" s="109"/>
      <c r="D128" s="110"/>
      <c r="E128" s="113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4"/>
      <c r="L128" s="102"/>
    </row>
    <row r="129" spans="1:12" s="114" customFormat="1" ht="36.75">
      <c r="A129" s="108" t="s">
        <v>57</v>
      </c>
      <c r="B129" s="167">
        <v>248.4</v>
      </c>
      <c r="C129" s="109">
        <v>942</v>
      </c>
      <c r="D129" s="110">
        <f>7+4.2+0.1+12.3+0.2+7.1+17.8+14.9+1.7+0.1+7.4+7+2.7+3.7+7.1+5.3+31.3+16.4</f>
        <v>146.3</v>
      </c>
      <c r="E129" s="113">
        <f>D129/D107*100</f>
        <v>0.16256838039445337</v>
      </c>
      <c r="F129" s="100">
        <f t="shared" si="17"/>
        <v>58.896940418679556</v>
      </c>
      <c r="G129" s="100">
        <f t="shared" si="14"/>
        <v>15.530785562632698</v>
      </c>
      <c r="H129" s="101">
        <f t="shared" si="18"/>
        <v>102.1</v>
      </c>
      <c r="I129" s="101">
        <f t="shared" si="16"/>
        <v>795.7</v>
      </c>
      <c r="K129" s="154"/>
      <c r="L129" s="102"/>
    </row>
    <row r="130" spans="1:12" s="115" customFormat="1" ht="18">
      <c r="A130" s="103" t="s">
        <v>88</v>
      </c>
      <c r="B130" s="166">
        <v>52.95</v>
      </c>
      <c r="C130" s="105">
        <v>510.8</v>
      </c>
      <c r="D130" s="106">
        <f>7+7.1+7+7.1</f>
        <v>28.200000000000003</v>
      </c>
      <c r="E130" s="107">
        <f>D130/D129*100</f>
        <v>19.27546138072454</v>
      </c>
      <c r="F130" s="107">
        <f>D130/B130*100</f>
        <v>53.25779036827196</v>
      </c>
      <c r="G130" s="107">
        <f t="shared" si="14"/>
        <v>5.520751761942052</v>
      </c>
      <c r="H130" s="105">
        <f t="shared" si="18"/>
        <v>24.75</v>
      </c>
      <c r="I130" s="105">
        <f t="shared" si="16"/>
        <v>482.6</v>
      </c>
      <c r="K130" s="154"/>
      <c r="L130" s="102"/>
    </row>
    <row r="131" spans="1:12" s="114" customFormat="1" ht="36.75">
      <c r="A131" s="108" t="s">
        <v>103</v>
      </c>
      <c r="B131" s="167">
        <v>160</v>
      </c>
      <c r="C131" s="109">
        <v>485</v>
      </c>
      <c r="D131" s="110"/>
      <c r="E131" s="113">
        <f>D131/D107*100</f>
        <v>0</v>
      </c>
      <c r="F131" s="111">
        <f t="shared" si="17"/>
        <v>0</v>
      </c>
      <c r="G131" s="100">
        <f t="shared" si="14"/>
        <v>0</v>
      </c>
      <c r="H131" s="101">
        <f t="shared" si="18"/>
        <v>160</v>
      </c>
      <c r="I131" s="101">
        <f t="shared" si="16"/>
        <v>485</v>
      </c>
      <c r="K131" s="154"/>
      <c r="L131" s="102"/>
    </row>
    <row r="132" spans="1:12" s="115" customFormat="1" ht="18" hidden="1">
      <c r="A132" s="112" t="s">
        <v>43</v>
      </c>
      <c r="B132" s="163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4"/>
      <c r="L132" s="102"/>
    </row>
    <row r="133" spans="1:12" s="114" customFormat="1" ht="35.25" customHeight="1" hidden="1">
      <c r="A133" s="108" t="s">
        <v>102</v>
      </c>
      <c r="B133" s="164"/>
      <c r="C133" s="109"/>
      <c r="D133" s="110"/>
      <c r="E133" s="113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4"/>
      <c r="L133" s="102"/>
    </row>
    <row r="134" spans="1:12" s="114" customFormat="1" ht="21.75" customHeight="1" hidden="1">
      <c r="A134" s="108" t="s">
        <v>101</v>
      </c>
      <c r="B134" s="164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4"/>
      <c r="L134" s="102"/>
    </row>
    <row r="135" spans="1:12" s="114" customFormat="1" ht="35.25" customHeight="1">
      <c r="A135" s="108" t="s">
        <v>87</v>
      </c>
      <c r="B135" s="167">
        <v>140</v>
      </c>
      <c r="C135" s="109">
        <v>383.2</v>
      </c>
      <c r="D135" s="110">
        <f>2.9+1.5+9.7+8.2</f>
        <v>22.299999999999997</v>
      </c>
      <c r="E135" s="113">
        <f>D135/D107*100</f>
        <v>0.024779732623351397</v>
      </c>
      <c r="F135" s="100">
        <f t="shared" si="17"/>
        <v>15.928571428571425</v>
      </c>
      <c r="G135" s="100">
        <f t="shared" si="14"/>
        <v>5.819415448851774</v>
      </c>
      <c r="H135" s="101">
        <f t="shared" si="18"/>
        <v>117.7</v>
      </c>
      <c r="I135" s="101">
        <f t="shared" si="16"/>
        <v>360.9</v>
      </c>
      <c r="K135" s="154"/>
      <c r="L135" s="102"/>
    </row>
    <row r="136" spans="1:12" s="114" customFormat="1" ht="39" customHeight="1">
      <c r="A136" s="108" t="s">
        <v>54</v>
      </c>
      <c r="B136" s="167">
        <v>80</v>
      </c>
      <c r="C136" s="109">
        <v>350</v>
      </c>
      <c r="D136" s="110"/>
      <c r="E136" s="113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80</v>
      </c>
      <c r="I136" s="101">
        <f t="shared" si="16"/>
        <v>350</v>
      </c>
      <c r="K136" s="154"/>
      <c r="L136" s="102"/>
    </row>
    <row r="137" spans="1:12" s="115" customFormat="1" ht="18">
      <c r="A137" s="103" t="s">
        <v>88</v>
      </c>
      <c r="B137" s="166">
        <v>26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26</v>
      </c>
      <c r="I137" s="105">
        <f>C137-D137</f>
        <v>110</v>
      </c>
      <c r="K137" s="154"/>
      <c r="L137" s="102"/>
    </row>
    <row r="138" spans="1:12" s="114" customFormat="1" ht="32.25" customHeight="1">
      <c r="A138" s="108" t="s">
        <v>84</v>
      </c>
      <c r="B138" s="167">
        <v>304.5</v>
      </c>
      <c r="C138" s="109">
        <v>607.7</v>
      </c>
      <c r="D138" s="110">
        <f>76+0.3+41+44+1.8+16.3+2.4+30+0.6+0.2</f>
        <v>212.60000000000002</v>
      </c>
      <c r="E138" s="113">
        <f>D138/D107*100</f>
        <v>0.236240859001099</v>
      </c>
      <c r="F138" s="100">
        <f>D138/B138*100</f>
        <v>69.81937602627258</v>
      </c>
      <c r="G138" s="100">
        <f>D138/C138*100</f>
        <v>34.98436728649005</v>
      </c>
      <c r="H138" s="101">
        <f t="shared" si="18"/>
        <v>91.89999999999998</v>
      </c>
      <c r="I138" s="101">
        <f t="shared" si="16"/>
        <v>395.1</v>
      </c>
      <c r="K138" s="154"/>
      <c r="L138" s="102"/>
    </row>
    <row r="139" spans="1:12" s="115" customFormat="1" ht="18">
      <c r="A139" s="103" t="s">
        <v>25</v>
      </c>
      <c r="B139" s="166">
        <v>252</v>
      </c>
      <c r="C139" s="105">
        <v>489.6</v>
      </c>
      <c r="D139" s="106">
        <f>76+37.6+44+1.2+0.7+30</f>
        <v>189.49999999999997</v>
      </c>
      <c r="E139" s="107">
        <f>D139/D138*100</f>
        <v>89.13452492944495</v>
      </c>
      <c r="F139" s="107">
        <f t="shared" si="17"/>
        <v>75.19841269841268</v>
      </c>
      <c r="G139" s="107">
        <f>D139/C139*100</f>
        <v>38.70506535947712</v>
      </c>
      <c r="H139" s="105">
        <f t="shared" si="18"/>
        <v>62.50000000000003</v>
      </c>
      <c r="I139" s="105">
        <f t="shared" si="16"/>
        <v>300.1</v>
      </c>
      <c r="K139" s="154"/>
      <c r="L139" s="102"/>
    </row>
    <row r="140" spans="1:12" s="114" customFormat="1" ht="18">
      <c r="A140" s="108" t="s">
        <v>96</v>
      </c>
      <c r="B140" s="167">
        <v>711.8</v>
      </c>
      <c r="C140" s="109">
        <v>1760</v>
      </c>
      <c r="D140" s="110">
        <f>107.3+0.4+30.4+78.2+4.1+36.9+117.9+50.5+112.6+5.2+52.3</f>
        <v>595.8000000000001</v>
      </c>
      <c r="E140" s="113">
        <f>D140/D107*100</f>
        <v>0.662052228564698</v>
      </c>
      <c r="F140" s="100">
        <f t="shared" si="17"/>
        <v>83.70328744029223</v>
      </c>
      <c r="G140" s="100">
        <f t="shared" si="14"/>
        <v>33.852272727272734</v>
      </c>
      <c r="H140" s="101">
        <f t="shared" si="18"/>
        <v>115.99999999999989</v>
      </c>
      <c r="I140" s="101">
        <f t="shared" si="16"/>
        <v>1164.1999999999998</v>
      </c>
      <c r="K140" s="154"/>
      <c r="L140" s="102"/>
    </row>
    <row r="141" spans="1:12" s="115" customFormat="1" ht="18">
      <c r="A141" s="112" t="s">
        <v>43</v>
      </c>
      <c r="B141" s="166">
        <v>570.5</v>
      </c>
      <c r="C141" s="105">
        <v>1437.4</v>
      </c>
      <c r="D141" s="106">
        <f>107.3+25.4+76+34+76.6+47.2+83.8+4.5+35.4</f>
        <v>490.19999999999993</v>
      </c>
      <c r="E141" s="107">
        <f>D141/D140*100</f>
        <v>82.27593152064449</v>
      </c>
      <c r="F141" s="107">
        <f aca="true" t="shared" si="19" ref="F141:F150">D141/B141*100</f>
        <v>85.92462751971954</v>
      </c>
      <c r="G141" s="107">
        <f t="shared" si="14"/>
        <v>34.1032419646584</v>
      </c>
      <c r="H141" s="105">
        <f t="shared" si="18"/>
        <v>80.30000000000007</v>
      </c>
      <c r="I141" s="105">
        <f t="shared" si="16"/>
        <v>947.2000000000002</v>
      </c>
      <c r="K141" s="154"/>
      <c r="L141" s="102"/>
    </row>
    <row r="142" spans="1:13" s="115" customFormat="1" ht="18">
      <c r="A142" s="103" t="s">
        <v>25</v>
      </c>
      <c r="B142" s="166">
        <v>26.7</v>
      </c>
      <c r="C142" s="105">
        <v>40</v>
      </c>
      <c r="D142" s="106">
        <f>0.4+4.9+0.7+4.7+3.3+0.4+0.7</f>
        <v>15.1</v>
      </c>
      <c r="E142" s="107">
        <f>D142/D140*100</f>
        <v>2.5344075193017788</v>
      </c>
      <c r="F142" s="107">
        <f t="shared" si="19"/>
        <v>56.55430711610487</v>
      </c>
      <c r="G142" s="107">
        <f>D142/C142*100</f>
        <v>37.75</v>
      </c>
      <c r="H142" s="105">
        <f t="shared" si="18"/>
        <v>11.6</v>
      </c>
      <c r="I142" s="105">
        <f t="shared" si="16"/>
        <v>24.9</v>
      </c>
      <c r="K142" s="154"/>
      <c r="L142" s="102"/>
      <c r="M142" s="155"/>
    </row>
    <row r="143" spans="1:12" s="114" customFormat="1" ht="33.75" customHeight="1" hidden="1">
      <c r="A143" s="118" t="s">
        <v>56</v>
      </c>
      <c r="B143" s="164"/>
      <c r="C143" s="109"/>
      <c r="D143" s="110"/>
      <c r="E143" s="113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54"/>
      <c r="L143" s="102"/>
    </row>
    <row r="144" spans="1:12" s="114" customFormat="1" ht="18" hidden="1">
      <c r="A144" s="118" t="s">
        <v>92</v>
      </c>
      <c r="B144" s="164"/>
      <c r="C144" s="109"/>
      <c r="D144" s="110"/>
      <c r="E144" s="113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54"/>
      <c r="L144" s="102"/>
    </row>
    <row r="145" spans="1:12" s="114" customFormat="1" ht="18">
      <c r="A145" s="118" t="s">
        <v>97</v>
      </c>
      <c r="B145" s="167">
        <f>18472-1000</f>
        <v>17472</v>
      </c>
      <c r="C145" s="109">
        <f>56447.1-100+1500-3000</f>
        <v>54847.1</v>
      </c>
      <c r="D145" s="110">
        <f>254.7+197.5+629.8+725.8+539.8+84+74.2+508.7+16.5+120.5+1481.6+832.6+99.5+375.2+120.4+395.9+31.6+377+15.9+619.7+572.8+566.7+1034+62.7+188.4+419</f>
        <v>10344.5</v>
      </c>
      <c r="E145" s="113">
        <f>D145/D107*100</f>
        <v>11.49479570054971</v>
      </c>
      <c r="F145" s="100">
        <f t="shared" si="19"/>
        <v>59.20615842490843</v>
      </c>
      <c r="G145" s="100">
        <f t="shared" si="14"/>
        <v>18.860614326008122</v>
      </c>
      <c r="H145" s="101">
        <f t="shared" si="18"/>
        <v>7127.5</v>
      </c>
      <c r="I145" s="101">
        <f t="shared" si="16"/>
        <v>44502.6</v>
      </c>
      <c r="K145" s="154"/>
      <c r="L145" s="102"/>
    </row>
    <row r="146" spans="1:12" s="114" customFormat="1" ht="18" hidden="1">
      <c r="A146" s="118" t="s">
        <v>86</v>
      </c>
      <c r="B146" s="164"/>
      <c r="C146" s="109"/>
      <c r="D146" s="110"/>
      <c r="E146" s="113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54"/>
      <c r="L146" s="102"/>
    </row>
    <row r="147" spans="1:12" s="114" customFormat="1" ht="36.75" hidden="1">
      <c r="A147" s="118" t="s">
        <v>104</v>
      </c>
      <c r="B147" s="164"/>
      <c r="C147" s="109"/>
      <c r="D147" s="110"/>
      <c r="E147" s="113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54"/>
      <c r="L147" s="102"/>
    </row>
    <row r="148" spans="1:12" s="114" customFormat="1" ht="18">
      <c r="A148" s="108" t="s">
        <v>98</v>
      </c>
      <c r="B148" s="167">
        <v>46.4</v>
      </c>
      <c r="C148" s="109">
        <v>162.3</v>
      </c>
      <c r="D148" s="110">
        <f>46.4</f>
        <v>46.4</v>
      </c>
      <c r="E148" s="113">
        <f>D148/D107*100</f>
        <v>0.05155962303692847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54"/>
      <c r="L148" s="102"/>
    </row>
    <row r="149" spans="1:12" s="114" customFormat="1" ht="18" customHeight="1">
      <c r="A149" s="108" t="s">
        <v>77</v>
      </c>
      <c r="B149" s="167">
        <v>5360.2</v>
      </c>
      <c r="C149" s="109">
        <f>10563.8+657.7</f>
        <v>11221.5</v>
      </c>
      <c r="D149" s="110">
        <f>791.9+575.3+777.6+830.9+722.1+47.7+657.7</f>
        <v>4403.2</v>
      </c>
      <c r="E149" s="113">
        <f>D149/D107*100</f>
        <v>4.892830434400937</v>
      </c>
      <c r="F149" s="100">
        <f t="shared" si="19"/>
        <v>82.14618857505317</v>
      </c>
      <c r="G149" s="100">
        <f t="shared" si="14"/>
        <v>39.23896092322773</v>
      </c>
      <c r="H149" s="101">
        <f t="shared" si="18"/>
        <v>957</v>
      </c>
      <c r="I149" s="101">
        <f t="shared" si="16"/>
        <v>6818.3</v>
      </c>
      <c r="K149" s="154"/>
      <c r="L149" s="102"/>
    </row>
    <row r="150" spans="1:12" s="114" customFormat="1" ht="19.5" customHeight="1">
      <c r="A150" s="148" t="s">
        <v>50</v>
      </c>
      <c r="B150" s="169">
        <f>98969.5-105+6119.2+1176.4</f>
        <v>106160.09999999999</v>
      </c>
      <c r="C150" s="149">
        <v>350771.5</v>
      </c>
      <c r="D150" s="150">
        <f>27.8+914.6+10874.2+1188.7+864.1+301.6+376.8+206.4+1075.1+354+2650.4+1522.6+53.5+786.8+81.3+1054.7+490+234.6+36.9+5277.5+291.8+23.3+540.8+832.4+305.2+3134.5+592.9</f>
        <v>34092.5</v>
      </c>
      <c r="E150" s="151">
        <f>D150/D107*100</f>
        <v>37.88354414626043</v>
      </c>
      <c r="F150" s="152">
        <f t="shared" si="19"/>
        <v>32.11423124130441</v>
      </c>
      <c r="G150" s="152">
        <f t="shared" si="14"/>
        <v>9.719290193188442</v>
      </c>
      <c r="H150" s="153">
        <f t="shared" si="18"/>
        <v>72067.59999999999</v>
      </c>
      <c r="I150" s="153">
        <f>C150-D150</f>
        <v>316679</v>
      </c>
      <c r="K150" s="154"/>
      <c r="L150" s="102"/>
    </row>
    <row r="151" spans="1:12" s="114" customFormat="1" ht="18">
      <c r="A151" s="108" t="s">
        <v>99</v>
      </c>
      <c r="B151" s="167">
        <v>17596.9</v>
      </c>
      <c r="C151" s="109">
        <v>42232</v>
      </c>
      <c r="D151" s="110">
        <f>819+819+819.1+1062.3+1173.1+1173.1+1173.2+1173.1+1173.1+1173.2+1173.1+1173.1+1173.2+1173.1+1173.1</f>
        <v>16423.800000000003</v>
      </c>
      <c r="E151" s="113">
        <f>D151/D107*100</f>
        <v>18.250106397282455</v>
      </c>
      <c r="F151" s="100">
        <f t="shared" si="17"/>
        <v>93.3334848751769</v>
      </c>
      <c r="G151" s="100">
        <f t="shared" si="14"/>
        <v>38.889467702216336</v>
      </c>
      <c r="H151" s="101">
        <f t="shared" si="18"/>
        <v>1173.0999999999985</v>
      </c>
      <c r="I151" s="101">
        <f t="shared" si="16"/>
        <v>25808.199999999997</v>
      </c>
      <c r="K151" s="154"/>
      <c r="L151" s="102"/>
    </row>
    <row r="152" spans="1:12" s="2" customFormat="1" ht="18.75" thickBot="1">
      <c r="A152" s="29" t="s">
        <v>29</v>
      </c>
      <c r="B152" s="168"/>
      <c r="C152" s="64"/>
      <c r="D152" s="45">
        <f>D43+D69+D72+D77+D79+D87+D102+D107+D100+D84+D98</f>
        <v>94307.79999999999</v>
      </c>
      <c r="E152" s="15"/>
      <c r="F152" s="15"/>
      <c r="G152" s="6"/>
      <c r="H152" s="53"/>
      <c r="I152" s="45"/>
      <c r="K152" s="154"/>
      <c r="L152" s="33"/>
    </row>
    <row r="153" spans="1:12" ht="18.75" thickBot="1">
      <c r="A153" s="12" t="s">
        <v>18</v>
      </c>
      <c r="B153" s="41">
        <f>B6+B18+B33+B43+B51+B59+B69+B72+B77+B79+B87+B90+B95+B102+B107+B100+B84+B98+B45</f>
        <v>861661.9899999998</v>
      </c>
      <c r="C153" s="41">
        <f>C6+C18+C33+C43+C51+C59+C69+C72+C77+C79+C87+C90+C95+C102+C107+C100+C84+C98+C45</f>
        <v>2136778.9999999995</v>
      </c>
      <c r="D153" s="41">
        <f>D6+D18+D33+D43+D51+D59+D69+D72+D77+D79+D87+D90+D95+D102+D107+D100+D84+D98+D45</f>
        <v>636122.4</v>
      </c>
      <c r="E153" s="28">
        <v>100</v>
      </c>
      <c r="F153" s="3">
        <f>D153/B153*100</f>
        <v>73.82505058625138</v>
      </c>
      <c r="G153" s="3">
        <f aca="true" t="shared" si="20" ref="G153:G159">D153/C153*100</f>
        <v>29.770154049623294</v>
      </c>
      <c r="H153" s="41">
        <f aca="true" t="shared" si="21" ref="H153:H159">B153-D153</f>
        <v>225539.58999999973</v>
      </c>
      <c r="I153" s="41">
        <f aca="true" t="shared" si="22" ref="I153:I159">C153-D153</f>
        <v>1500656.5999999996</v>
      </c>
      <c r="K153" s="158"/>
      <c r="L153" s="34"/>
    </row>
    <row r="154" spans="1:12" ht="18">
      <c r="A154" s="16" t="s">
        <v>5</v>
      </c>
      <c r="B154" s="52">
        <f>B8+B20+B34+B52+B60+B91+B115+B119+B46+B141+B132+B103</f>
        <v>381753.70999999996</v>
      </c>
      <c r="C154" s="52">
        <f>C8+C20+C34+C52+C60+C91+C115+C119+C46+C141+C132+C103</f>
        <v>898180.8</v>
      </c>
      <c r="D154" s="52">
        <f>D8+D20+D34+D52+D60+D91+D115+D119+D46+D141+D132+D103</f>
        <v>304231.01</v>
      </c>
      <c r="E154" s="6">
        <f>D154/D153*100</f>
        <v>47.82586024324878</v>
      </c>
      <c r="F154" s="6">
        <f aca="true" t="shared" si="23" ref="F154:F159">D154/B154*100</f>
        <v>79.69300678178087</v>
      </c>
      <c r="G154" s="6">
        <f t="shared" si="20"/>
        <v>33.87191198030508</v>
      </c>
      <c r="H154" s="53">
        <f t="shared" si="21"/>
        <v>77522.69999999995</v>
      </c>
      <c r="I154" s="63">
        <f t="shared" si="22"/>
        <v>593949.79</v>
      </c>
      <c r="K154" s="154"/>
      <c r="L154" s="34"/>
    </row>
    <row r="155" spans="1:12" ht="18">
      <c r="A155" s="16" t="s">
        <v>0</v>
      </c>
      <c r="B155" s="53">
        <f>B11+B23+B36+B55+B62+B92+B49+B142+B109+B112+B96+B139+B128</f>
        <v>61552.45</v>
      </c>
      <c r="C155" s="53">
        <f>C11+C23+C36+C55+C62+C92+C49+C142+C109+C112+C96+C139+C128</f>
        <v>110563.99999999999</v>
      </c>
      <c r="D155" s="53">
        <f>D11+D23+D36+D55+D62+D92+D49+D142+D109+D112+D96+D139+D128</f>
        <v>54530.00000000001</v>
      </c>
      <c r="E155" s="6">
        <f>D155/D153*100</f>
        <v>8.572249617369236</v>
      </c>
      <c r="F155" s="6">
        <f t="shared" si="23"/>
        <v>88.59111213282333</v>
      </c>
      <c r="G155" s="6">
        <f t="shared" si="20"/>
        <v>49.3198509460584</v>
      </c>
      <c r="H155" s="53">
        <f>B155-D155</f>
        <v>7022.44999999999</v>
      </c>
      <c r="I155" s="63">
        <f t="shared" si="22"/>
        <v>56033.99999999998</v>
      </c>
      <c r="K155" s="154"/>
      <c r="L155" s="70"/>
    </row>
    <row r="156" spans="1:12" ht="18">
      <c r="A156" s="16" t="s">
        <v>1</v>
      </c>
      <c r="B156" s="52">
        <f>B22+B10+B54+B48+B61+B35+B123</f>
        <v>21077.200000000004</v>
      </c>
      <c r="C156" s="52">
        <f>C22+C10+C54+C48+C61+C35+C123</f>
        <v>45915.9</v>
      </c>
      <c r="D156" s="52">
        <f>D22+D10+D54+D48+D61+D35+D123</f>
        <v>9700.1</v>
      </c>
      <c r="E156" s="6">
        <f>D156/D153*100</f>
        <v>1.5248794886015649</v>
      </c>
      <c r="F156" s="6">
        <f t="shared" si="23"/>
        <v>46.021767597214044</v>
      </c>
      <c r="G156" s="6">
        <f t="shared" si="20"/>
        <v>21.125797381734866</v>
      </c>
      <c r="H156" s="53">
        <f t="shared" si="21"/>
        <v>11377.100000000004</v>
      </c>
      <c r="I156" s="63">
        <f t="shared" si="22"/>
        <v>36215.8</v>
      </c>
      <c r="K156" s="154"/>
      <c r="L156" s="34"/>
    </row>
    <row r="157" spans="1:12" ht="21" customHeight="1">
      <c r="A157" s="16" t="s">
        <v>14</v>
      </c>
      <c r="B157" s="52">
        <f>B12+B24+B104+B63+B38+B93+B130+B56+B137</f>
        <v>10774.25</v>
      </c>
      <c r="C157" s="52">
        <f>C12+C24+C104+C63+C38+C93+C130+C56+C137</f>
        <v>28492.899999999998</v>
      </c>
      <c r="D157" s="52">
        <f>D12+D24+D104+D63+D38+D93+D130+D56+D137</f>
        <v>8988.2</v>
      </c>
      <c r="E157" s="6">
        <f>D157/D153*100</f>
        <v>1.4129670642002232</v>
      </c>
      <c r="F157" s="6">
        <f t="shared" si="23"/>
        <v>83.42297607722115</v>
      </c>
      <c r="G157" s="6">
        <f t="shared" si="20"/>
        <v>31.545402538878108</v>
      </c>
      <c r="H157" s="53">
        <f>B157-D157</f>
        <v>1786.0499999999993</v>
      </c>
      <c r="I157" s="63">
        <f t="shared" si="22"/>
        <v>19504.699999999997</v>
      </c>
      <c r="K157" s="154"/>
      <c r="L157" s="70"/>
    </row>
    <row r="158" spans="1:12" ht="18">
      <c r="A158" s="16" t="s">
        <v>2</v>
      </c>
      <c r="B158" s="52">
        <f>B9+B21+B47+B53+B122</f>
        <v>31.6</v>
      </c>
      <c r="C158" s="52">
        <f>C9+C21+C47+C53+C122</f>
        <v>113.10000000000001</v>
      </c>
      <c r="D158" s="52">
        <f>D9+D21+D47+D53+D122</f>
        <v>13.700000000000001</v>
      </c>
      <c r="E158" s="6">
        <f>D158/D153*100</f>
        <v>0.002153673569740666</v>
      </c>
      <c r="F158" s="6">
        <f t="shared" si="23"/>
        <v>43.35443037974684</v>
      </c>
      <c r="G158" s="6">
        <f t="shared" si="20"/>
        <v>12.1131741821397</v>
      </c>
      <c r="H158" s="53">
        <f t="shared" si="21"/>
        <v>17.9</v>
      </c>
      <c r="I158" s="63">
        <f t="shared" si="22"/>
        <v>99.4</v>
      </c>
      <c r="K158" s="154"/>
      <c r="L158" s="34"/>
    </row>
    <row r="159" spans="1:12" ht="18.75" thickBot="1">
      <c r="A159" s="89" t="s">
        <v>27</v>
      </c>
      <c r="B159" s="65">
        <f>B153-B154-B155-B156-B157-B158</f>
        <v>386472.7799999998</v>
      </c>
      <c r="C159" s="65">
        <f>C153-C154-C155-C156-C157-C158</f>
        <v>1053512.2999999996</v>
      </c>
      <c r="D159" s="65">
        <f>D153-D154-D155-D156-D157-D158</f>
        <v>258659.39</v>
      </c>
      <c r="E159" s="31">
        <f>D159/D153*100</f>
        <v>40.661889913010455</v>
      </c>
      <c r="F159" s="31">
        <f t="shared" si="23"/>
        <v>66.92822971905036</v>
      </c>
      <c r="G159" s="31">
        <f t="shared" si="20"/>
        <v>24.552099676482193</v>
      </c>
      <c r="H159" s="90">
        <f t="shared" si="21"/>
        <v>127813.38999999978</v>
      </c>
      <c r="I159" s="90">
        <f t="shared" si="22"/>
        <v>794852.9099999996</v>
      </c>
      <c r="K159" s="154"/>
      <c r="L159" s="70"/>
    </row>
    <row r="160" spans="7:8" ht="12.75">
      <c r="G160" s="18"/>
      <c r="H160" s="18"/>
    </row>
    <row r="161" spans="3:11" ht="12.75">
      <c r="C161" s="154"/>
      <c r="G161" s="18"/>
      <c r="H161" s="18"/>
      <c r="I161" s="18"/>
      <c r="K161" s="96"/>
    </row>
    <row r="162" spans="7:11" ht="12.75">
      <c r="G162" s="18"/>
      <c r="H162" s="18"/>
      <c r="K162" s="96"/>
    </row>
    <row r="163" spans="7:11" ht="12.75">
      <c r="G163" s="18"/>
      <c r="H163" s="18"/>
      <c r="K163" s="96"/>
    </row>
    <row r="164" spans="4:8" ht="12.75">
      <c r="D164" s="154"/>
      <c r="G164" s="18"/>
      <c r="H164" s="18"/>
    </row>
    <row r="165" spans="2:8" ht="12.75">
      <c r="B165" s="159"/>
      <c r="C165" s="160"/>
      <c r="G165" s="18"/>
      <c r="H165" s="18"/>
    </row>
    <row r="166" spans="2:8" ht="12.75">
      <c r="B166" s="93"/>
      <c r="C166" s="93"/>
      <c r="D166" s="93"/>
      <c r="G166" s="18"/>
      <c r="H166" s="18"/>
    </row>
    <row r="167" spans="2:8" ht="12.75">
      <c r="B167" s="93"/>
      <c r="G167" s="18"/>
      <c r="H167" s="18"/>
    </row>
    <row r="168" spans="2:8" ht="12.75">
      <c r="B168" s="93"/>
      <c r="C168" s="154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4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636122.4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636122.4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2018-05-18T11:03:17Z</cp:lastPrinted>
  <dcterms:created xsi:type="dcterms:W3CDTF">2000-06-20T04:48:00Z</dcterms:created>
  <dcterms:modified xsi:type="dcterms:W3CDTF">2018-05-21T11:20:35Z</dcterms:modified>
  <cp:category/>
  <cp:version/>
  <cp:contentType/>
  <cp:contentStatus/>
</cp:coreProperties>
</file>